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D:\Anvay Document\ANVAY-PORTFOLIO-WEBSITE\assets\excel\"/>
    </mc:Choice>
  </mc:AlternateContent>
  <xr:revisionPtr revIDLastSave="0" documentId="13_ncr:1_{C9320544-B2B2-4529-A71A-0160EDDCF636}" xr6:coauthVersionLast="47" xr6:coauthVersionMax="47" xr10:uidLastSave="{00000000-0000-0000-0000-000000000000}"/>
  <bookViews>
    <workbookView xWindow="-108" yWindow="-108" windowWidth="23256" windowHeight="12456" tabRatio="657" activeTab="6" xr2:uid="{00000000-000D-0000-FFFF-FFFF00000000}"/>
  </bookViews>
  <sheets>
    <sheet name="COVER" sheetId="7" r:id="rId1"/>
    <sheet name="Assumptions" sheetId="1" r:id="rId2"/>
    <sheet name="Income Statement" sheetId="2" r:id="rId3"/>
    <sheet name="Schedules" sheetId="3" r:id="rId4"/>
    <sheet name="Balance Sheet" sheetId="4" r:id="rId5"/>
    <sheet name="Cash Flow" sheetId="5" r:id="rId6"/>
    <sheet name="Dashboard" sheetId="6" r:id="rId7"/>
  </sheets>
  <definedNames>
    <definedName name="_xlnm.Print_Area" localSheetId="1">Assumptions!$A$1:$E$51</definedName>
    <definedName name="_xlnm.Print_Area" localSheetId="5">'Cash Flow'!$A$1:$P$32</definedName>
    <definedName name="_xlnm.Print_Area" localSheetId="6">Dashboard!$A$1:$Q$83</definedName>
    <definedName name="_xlnm.Print_Area" localSheetId="2">'Income Statement'!$A$1:$P$38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K31" i="6" l="1"/>
  <c r="N8" i="2" s="1"/>
  <c r="K30" i="6"/>
  <c r="N17" i="2" s="1"/>
  <c r="L37" i="2"/>
  <c r="M8" i="2"/>
  <c r="L8" i="3"/>
  <c r="F15" i="6"/>
  <c r="L27" i="2"/>
  <c r="C4" i="3"/>
  <c r="C4" i="5" s="1"/>
  <c r="C4" i="4" s="1"/>
  <c r="D4" i="6" s="1"/>
  <c r="D4" i="2"/>
  <c r="D4" i="3" s="1"/>
  <c r="D4" i="5" s="1"/>
  <c r="D4" i="4" s="1"/>
  <c r="E4" i="6" s="1"/>
  <c r="N14" i="6"/>
  <c r="L14" i="6"/>
  <c r="K14" i="6"/>
  <c r="J14" i="6"/>
  <c r="I14" i="6"/>
  <c r="H14" i="6"/>
  <c r="G14" i="6"/>
  <c r="F14" i="6"/>
  <c r="E14" i="6"/>
  <c r="D14" i="6"/>
  <c r="D16" i="6"/>
  <c r="E16" i="6"/>
  <c r="F16" i="6"/>
  <c r="G16" i="6"/>
  <c r="H16" i="6"/>
  <c r="I16" i="6"/>
  <c r="J16" i="6"/>
  <c r="K16" i="6"/>
  <c r="L16" i="6"/>
  <c r="N16" i="6"/>
  <c r="I15" i="6"/>
  <c r="E4" i="2" l="1"/>
  <c r="F4" i="2" l="1"/>
  <c r="E4" i="3"/>
  <c r="E4" i="5" s="1"/>
  <c r="E4" i="4" s="1"/>
  <c r="F4" i="6" s="1"/>
  <c r="G4" i="2" l="1"/>
  <c r="F4" i="3"/>
  <c r="F4" i="5" s="1"/>
  <c r="F4" i="4" s="1"/>
  <c r="G4" i="6" s="1"/>
  <c r="N6" i="6"/>
  <c r="L29" i="5"/>
  <c r="N29" i="5"/>
  <c r="L24" i="5"/>
  <c r="L23" i="5"/>
  <c r="J7" i="5"/>
  <c r="N26" i="4"/>
  <c r="K30" i="4"/>
  <c r="L20" i="6" s="1"/>
  <c r="K28" i="4"/>
  <c r="L26" i="4"/>
  <c r="M19" i="4"/>
  <c r="K13" i="4"/>
  <c r="L7" i="3"/>
  <c r="L30" i="3"/>
  <c r="L33" i="4" s="1"/>
  <c r="L34" i="4" s="1"/>
  <c r="L29" i="3"/>
  <c r="L28" i="3"/>
  <c r="L27" i="3"/>
  <c r="J23" i="3"/>
  <c r="H17" i="3"/>
  <c r="I17" i="3"/>
  <c r="J15" i="3"/>
  <c r="L11" i="3"/>
  <c r="L9" i="4" s="1"/>
  <c r="L9" i="3"/>
  <c r="L8" i="5" s="1"/>
  <c r="M14" i="6"/>
  <c r="M37" i="2"/>
  <c r="N37" i="2" s="1"/>
  <c r="O37" i="2" s="1"/>
  <c r="P37" i="2" s="1"/>
  <c r="M38" i="2"/>
  <c r="K38" i="2"/>
  <c r="J38" i="2"/>
  <c r="I38" i="2"/>
  <c r="H38" i="2"/>
  <c r="G38" i="2"/>
  <c r="F38" i="2"/>
  <c r="E38" i="2"/>
  <c r="D38" i="2"/>
  <c r="K14" i="2"/>
  <c r="K12" i="2" s="1"/>
  <c r="I14" i="2"/>
  <c r="L16" i="2"/>
  <c r="M7" i="6" s="1"/>
  <c r="L31" i="2"/>
  <c r="L21" i="5" s="1"/>
  <c r="L7" i="5"/>
  <c r="L26" i="2"/>
  <c r="L12" i="5" s="1"/>
  <c r="L24" i="2"/>
  <c r="L9" i="5" s="1"/>
  <c r="L23" i="2"/>
  <c r="L10" i="5" s="1"/>
  <c r="L18" i="2"/>
  <c r="M9" i="6" s="1"/>
  <c r="K17" i="2"/>
  <c r="J14" i="2"/>
  <c r="L11" i="2"/>
  <c r="L13" i="2"/>
  <c r="L7" i="2"/>
  <c r="L8" i="2" s="1"/>
  <c r="K8" i="2"/>
  <c r="L6" i="6" s="1"/>
  <c r="K19" i="2"/>
  <c r="K20" i="2" s="1"/>
  <c r="K28" i="2"/>
  <c r="K32" i="2"/>
  <c r="K33" i="2"/>
  <c r="K12" i="3"/>
  <c r="K17" i="3"/>
  <c r="K23" i="3"/>
  <c r="K24" i="3" s="1"/>
  <c r="K19" i="4"/>
  <c r="K27" i="4"/>
  <c r="K34" i="4"/>
  <c r="K43" i="4"/>
  <c r="K7" i="5"/>
  <c r="K8" i="5"/>
  <c r="K9" i="5"/>
  <c r="K10" i="5"/>
  <c r="K21" i="5"/>
  <c r="K22" i="5"/>
  <c r="C7" i="1"/>
  <c r="L15" i="3" l="1"/>
  <c r="L10" i="3"/>
  <c r="L8" i="4"/>
  <c r="L13" i="4" s="1"/>
  <c r="L12" i="3"/>
  <c r="L17" i="3"/>
  <c r="L16" i="5"/>
  <c r="J16" i="3"/>
  <c r="J17" i="3"/>
  <c r="H4" i="2"/>
  <c r="G4" i="3"/>
  <c r="G4" i="5" s="1"/>
  <c r="G4" i="4" s="1"/>
  <c r="H4" i="6" s="1"/>
  <c r="L14" i="2"/>
  <c r="L12" i="2" s="1"/>
  <c r="M5" i="6"/>
  <c r="L22" i="3"/>
  <c r="L38" i="4" s="1"/>
  <c r="M10" i="6"/>
  <c r="M11" i="6"/>
  <c r="L22" i="5"/>
  <c r="L25" i="5" s="1"/>
  <c r="L17" i="2"/>
  <c r="M8" i="6" s="1"/>
  <c r="L32" i="2"/>
  <c r="K25" i="2"/>
  <c r="L27" i="4"/>
  <c r="L20" i="3"/>
  <c r="L17" i="4" s="1"/>
  <c r="M23" i="6" s="1"/>
  <c r="L33" i="2"/>
  <c r="L28" i="2"/>
  <c r="K10" i="2"/>
  <c r="L21" i="3"/>
  <c r="M12" i="6"/>
  <c r="L19" i="2"/>
  <c r="L38" i="2"/>
  <c r="M6" i="6"/>
  <c r="L28" i="4"/>
  <c r="K11" i="5"/>
  <c r="P24" i="5"/>
  <c r="O24" i="5"/>
  <c r="N24" i="5"/>
  <c r="P17" i="5"/>
  <c r="O17" i="5"/>
  <c r="N17" i="5"/>
  <c r="C19" i="4"/>
  <c r="C13" i="4"/>
  <c r="P30" i="3"/>
  <c r="P33" i="4" s="1"/>
  <c r="P34" i="4" s="1"/>
  <c r="O30" i="3"/>
  <c r="N30" i="3"/>
  <c r="D17" i="3"/>
  <c r="C38" i="2"/>
  <c r="E28" i="2"/>
  <c r="I10" i="6"/>
  <c r="G32" i="2"/>
  <c r="F27" i="4"/>
  <c r="E27" i="4"/>
  <c r="K11" i="6"/>
  <c r="J11" i="6"/>
  <c r="I11" i="6"/>
  <c r="H11" i="6"/>
  <c r="E7" i="5"/>
  <c r="E10" i="6"/>
  <c r="O32" i="2"/>
  <c r="P32" i="2"/>
  <c r="N32" i="2"/>
  <c r="P17" i="2"/>
  <c r="Q8" i="6" s="1"/>
  <c r="O17" i="2"/>
  <c r="P8" i="6" s="1"/>
  <c r="O8" i="6"/>
  <c r="D8" i="2"/>
  <c r="E6" i="6" s="1"/>
  <c r="E7" i="1"/>
  <c r="P8" i="2" s="1"/>
  <c r="Q6" i="6" s="1"/>
  <c r="D7" i="1"/>
  <c r="O8" i="2" s="1"/>
  <c r="P6" i="6" s="1"/>
  <c r="C43" i="4"/>
  <c r="D24" i="6" s="1"/>
  <c r="L24" i="6"/>
  <c r="N23" i="6"/>
  <c r="L23" i="6"/>
  <c r="K23" i="6"/>
  <c r="J23" i="6"/>
  <c r="I23" i="6"/>
  <c r="H23" i="6"/>
  <c r="G23" i="6"/>
  <c r="F23" i="6"/>
  <c r="E23" i="6"/>
  <c r="D23" i="6"/>
  <c r="N22" i="6"/>
  <c r="L22" i="6"/>
  <c r="K22" i="6"/>
  <c r="J22" i="6"/>
  <c r="I22" i="6"/>
  <c r="H22" i="6"/>
  <c r="G22" i="6"/>
  <c r="F22" i="6"/>
  <c r="E22" i="6"/>
  <c r="D22" i="6"/>
  <c r="N19" i="6"/>
  <c r="L19" i="6"/>
  <c r="K19" i="6"/>
  <c r="J19" i="6"/>
  <c r="I19" i="6"/>
  <c r="H19" i="6"/>
  <c r="G19" i="6"/>
  <c r="F19" i="6"/>
  <c r="E19" i="6"/>
  <c r="D19" i="6"/>
  <c r="N17" i="6"/>
  <c r="L17" i="6"/>
  <c r="K17" i="6"/>
  <c r="J17" i="6"/>
  <c r="I17" i="6"/>
  <c r="H17" i="6"/>
  <c r="G17" i="6"/>
  <c r="F17" i="6"/>
  <c r="E17" i="6"/>
  <c r="D17" i="6"/>
  <c r="N15" i="6"/>
  <c r="L15" i="6"/>
  <c r="K15" i="6"/>
  <c r="J15" i="6"/>
  <c r="H15" i="6"/>
  <c r="G15" i="6"/>
  <c r="E15" i="6"/>
  <c r="D15" i="6"/>
  <c r="N13" i="6"/>
  <c r="L13" i="6"/>
  <c r="K13" i="6"/>
  <c r="J13" i="6"/>
  <c r="I13" i="6"/>
  <c r="H13" i="6"/>
  <c r="G13" i="6"/>
  <c r="F13" i="6"/>
  <c r="E13" i="6"/>
  <c r="D13" i="6"/>
  <c r="N12" i="6"/>
  <c r="L12" i="6"/>
  <c r="K12" i="6"/>
  <c r="J12" i="6"/>
  <c r="I12" i="6"/>
  <c r="H12" i="6"/>
  <c r="G12" i="6"/>
  <c r="F12" i="6"/>
  <c r="E12" i="6"/>
  <c r="D12" i="6"/>
  <c r="N11" i="6"/>
  <c r="L11" i="6"/>
  <c r="D11" i="6"/>
  <c r="N10" i="6"/>
  <c r="L10" i="6"/>
  <c r="K10" i="6"/>
  <c r="J10" i="6"/>
  <c r="D10" i="6"/>
  <c r="N9" i="6"/>
  <c r="L9" i="6"/>
  <c r="K9" i="6"/>
  <c r="J9" i="6"/>
  <c r="I9" i="6"/>
  <c r="H9" i="6"/>
  <c r="G9" i="6"/>
  <c r="F9" i="6"/>
  <c r="E9" i="6"/>
  <c r="D9" i="6"/>
  <c r="N7" i="6"/>
  <c r="L7" i="6"/>
  <c r="K7" i="6"/>
  <c r="J7" i="6"/>
  <c r="I7" i="6"/>
  <c r="H7" i="6"/>
  <c r="G7" i="6"/>
  <c r="F7" i="6"/>
  <c r="E7" i="6"/>
  <c r="D7" i="6"/>
  <c r="N5" i="6"/>
  <c r="L5" i="6"/>
  <c r="K5" i="6"/>
  <c r="J5" i="6"/>
  <c r="I5" i="6"/>
  <c r="H5" i="6"/>
  <c r="G5" i="6"/>
  <c r="F5" i="6"/>
  <c r="E5" i="6"/>
  <c r="D5" i="6"/>
  <c r="M22" i="5"/>
  <c r="J22" i="5"/>
  <c r="I22" i="5"/>
  <c r="H22" i="5"/>
  <c r="G22" i="5"/>
  <c r="F22" i="5"/>
  <c r="E22" i="5"/>
  <c r="D22" i="5"/>
  <c r="C22" i="5"/>
  <c r="M21" i="5"/>
  <c r="J21" i="5"/>
  <c r="I21" i="5"/>
  <c r="H21" i="5"/>
  <c r="G21" i="5"/>
  <c r="F21" i="5"/>
  <c r="E21" i="5"/>
  <c r="D21" i="5"/>
  <c r="C21" i="5"/>
  <c r="C11" i="5"/>
  <c r="M10" i="5"/>
  <c r="J10" i="5"/>
  <c r="I10" i="5"/>
  <c r="H10" i="5"/>
  <c r="G10" i="5"/>
  <c r="F10" i="5"/>
  <c r="E10" i="5"/>
  <c r="D10" i="5"/>
  <c r="C10" i="5"/>
  <c r="M9" i="5"/>
  <c r="J9" i="5"/>
  <c r="I9" i="5"/>
  <c r="H9" i="5"/>
  <c r="G9" i="5"/>
  <c r="F9" i="5"/>
  <c r="E9" i="5"/>
  <c r="D9" i="5"/>
  <c r="C9" i="5"/>
  <c r="M8" i="5"/>
  <c r="J8" i="5"/>
  <c r="I8" i="5"/>
  <c r="H8" i="5"/>
  <c r="G8" i="5"/>
  <c r="F8" i="5"/>
  <c r="E8" i="5"/>
  <c r="D8" i="5"/>
  <c r="C8" i="5"/>
  <c r="M7" i="5"/>
  <c r="I7" i="5"/>
  <c r="H7" i="5"/>
  <c r="C7" i="5"/>
  <c r="M43" i="4"/>
  <c r="N24" i="6" s="1"/>
  <c r="J43" i="4"/>
  <c r="K24" i="6" s="1"/>
  <c r="I43" i="4"/>
  <c r="J24" i="6" s="1"/>
  <c r="H43" i="4"/>
  <c r="I24" i="6" s="1"/>
  <c r="G43" i="4"/>
  <c r="H24" i="6" s="1"/>
  <c r="F43" i="4"/>
  <c r="G24" i="6" s="1"/>
  <c r="E43" i="4"/>
  <c r="F24" i="6" s="1"/>
  <c r="D43" i="4"/>
  <c r="E24" i="6" s="1"/>
  <c r="M34" i="4"/>
  <c r="J34" i="4"/>
  <c r="I34" i="4"/>
  <c r="H34" i="4"/>
  <c r="G34" i="4"/>
  <c r="F34" i="4"/>
  <c r="E34" i="4"/>
  <c r="D34" i="4"/>
  <c r="C34" i="4"/>
  <c r="M30" i="4"/>
  <c r="N18" i="6" s="1"/>
  <c r="J30" i="4"/>
  <c r="K20" i="6" s="1"/>
  <c r="I30" i="4"/>
  <c r="J20" i="6" s="1"/>
  <c r="H30" i="4"/>
  <c r="G30" i="4"/>
  <c r="H20" i="6" s="1"/>
  <c r="F30" i="4"/>
  <c r="G18" i="6" s="1"/>
  <c r="E30" i="4"/>
  <c r="F18" i="6" s="1"/>
  <c r="D30" i="4"/>
  <c r="E18" i="6" s="1"/>
  <c r="C30" i="4"/>
  <c r="M28" i="4"/>
  <c r="J28" i="4"/>
  <c r="I28" i="4"/>
  <c r="H28" i="4"/>
  <c r="G28" i="4"/>
  <c r="F28" i="4"/>
  <c r="E28" i="4"/>
  <c r="D28" i="4"/>
  <c r="C28" i="4"/>
  <c r="M27" i="4"/>
  <c r="J27" i="4"/>
  <c r="I27" i="4"/>
  <c r="H27" i="4"/>
  <c r="G27" i="4"/>
  <c r="C27" i="4"/>
  <c r="J19" i="4"/>
  <c r="I19" i="4"/>
  <c r="H19" i="4"/>
  <c r="G19" i="4"/>
  <c r="F19" i="4"/>
  <c r="E19" i="4"/>
  <c r="D19" i="4"/>
  <c r="M13" i="4"/>
  <c r="J13" i="4"/>
  <c r="I13" i="4"/>
  <c r="H13" i="4"/>
  <c r="G13" i="4"/>
  <c r="F13" i="4"/>
  <c r="E13" i="4"/>
  <c r="D13" i="4"/>
  <c r="P9" i="4"/>
  <c r="O9" i="4"/>
  <c r="N9" i="4"/>
  <c r="M23" i="3"/>
  <c r="I23" i="3"/>
  <c r="J24" i="3" s="1"/>
  <c r="H23" i="3"/>
  <c r="G23" i="3"/>
  <c r="F23" i="3"/>
  <c r="E23" i="3"/>
  <c r="D23" i="3"/>
  <c r="C23" i="3"/>
  <c r="M17" i="3"/>
  <c r="G17" i="3"/>
  <c r="F17" i="3"/>
  <c r="E17" i="3"/>
  <c r="C17" i="3"/>
  <c r="M12" i="3"/>
  <c r="J12" i="3"/>
  <c r="I12" i="3"/>
  <c r="H12" i="3"/>
  <c r="G12" i="3"/>
  <c r="F12" i="3"/>
  <c r="E12" i="3"/>
  <c r="D12" i="3"/>
  <c r="C12" i="3"/>
  <c r="N7" i="3"/>
  <c r="N9" i="3" s="1"/>
  <c r="N16" i="3" s="1"/>
  <c r="M33" i="2"/>
  <c r="J33" i="2"/>
  <c r="C33" i="2"/>
  <c r="M32" i="2"/>
  <c r="J32" i="2"/>
  <c r="I32" i="2"/>
  <c r="H32" i="2"/>
  <c r="C32" i="2"/>
  <c r="M28" i="2"/>
  <c r="J28" i="2"/>
  <c r="I28" i="2"/>
  <c r="H28" i="2"/>
  <c r="C28" i="2"/>
  <c r="M19" i="2"/>
  <c r="N21" i="6" s="1"/>
  <c r="J19" i="2"/>
  <c r="J25" i="2" s="1"/>
  <c r="I19" i="2"/>
  <c r="I25" i="2" s="1"/>
  <c r="H19" i="2"/>
  <c r="H25" i="2" s="1"/>
  <c r="G19" i="2"/>
  <c r="G25" i="2" s="1"/>
  <c r="F19" i="2"/>
  <c r="G21" i="6" s="1"/>
  <c r="E19" i="2"/>
  <c r="F21" i="6" s="1"/>
  <c r="D19" i="2"/>
  <c r="D25" i="2" s="1"/>
  <c r="C19" i="2"/>
  <c r="C20" i="2" s="1"/>
  <c r="M17" i="2"/>
  <c r="N8" i="6" s="1"/>
  <c r="L8" i="6"/>
  <c r="J17" i="2"/>
  <c r="K8" i="6" s="1"/>
  <c r="I17" i="2"/>
  <c r="J8" i="6" s="1"/>
  <c r="H17" i="2"/>
  <c r="I8" i="6" s="1"/>
  <c r="G17" i="2"/>
  <c r="H8" i="6" s="1"/>
  <c r="F17" i="2"/>
  <c r="G8" i="6" s="1"/>
  <c r="E17" i="2"/>
  <c r="F8" i="6" s="1"/>
  <c r="D17" i="2"/>
  <c r="E8" i="6" s="1"/>
  <c r="C17" i="2"/>
  <c r="D8" i="6" s="1"/>
  <c r="M14" i="2"/>
  <c r="H14" i="2"/>
  <c r="G14" i="2"/>
  <c r="F14" i="2"/>
  <c r="E14" i="2"/>
  <c r="D14" i="2"/>
  <c r="C14" i="2"/>
  <c r="J8" i="2"/>
  <c r="K6" i="6" s="1"/>
  <c r="I8" i="2"/>
  <c r="J6" i="6" s="1"/>
  <c r="H8" i="2"/>
  <c r="I6" i="6" s="1"/>
  <c r="G8" i="2"/>
  <c r="H6" i="6" s="1"/>
  <c r="F8" i="2"/>
  <c r="G6" i="6" s="1"/>
  <c r="E8" i="2"/>
  <c r="F6" i="6" s="1"/>
  <c r="L16" i="3" l="1"/>
  <c r="N23" i="5"/>
  <c r="N33" i="4"/>
  <c r="N34" i="4" s="1"/>
  <c r="I4" i="2"/>
  <c r="H4" i="3"/>
  <c r="H4" i="5" s="1"/>
  <c r="H4" i="4" s="1"/>
  <c r="I4" i="6" s="1"/>
  <c r="L10" i="2"/>
  <c r="L29" i="4"/>
  <c r="M19" i="6" s="1"/>
  <c r="L16" i="4"/>
  <c r="M22" i="6" s="1"/>
  <c r="L23" i="3"/>
  <c r="G20" i="2"/>
  <c r="H20" i="2"/>
  <c r="L25" i="2"/>
  <c r="L20" i="2"/>
  <c r="I18" i="6"/>
  <c r="I20" i="6" s="1"/>
  <c r="J18" i="6"/>
  <c r="H24" i="3"/>
  <c r="H11" i="5" s="1"/>
  <c r="O23" i="5"/>
  <c r="D24" i="3"/>
  <c r="D11" i="5" s="1"/>
  <c r="H18" i="6"/>
  <c r="K18" i="6"/>
  <c r="E24" i="3"/>
  <c r="E11" i="5" s="1"/>
  <c r="F24" i="3"/>
  <c r="F11" i="5" s="1"/>
  <c r="O33" i="4"/>
  <c r="O34" i="4" s="1"/>
  <c r="P23" i="5"/>
  <c r="M20" i="2"/>
  <c r="D20" i="2"/>
  <c r="H21" i="6"/>
  <c r="E20" i="2"/>
  <c r="I21" i="6"/>
  <c r="F20" i="2"/>
  <c r="D21" i="6"/>
  <c r="N7" i="2"/>
  <c r="O6" i="6"/>
  <c r="G24" i="3"/>
  <c r="G11" i="5" s="1"/>
  <c r="I24" i="3"/>
  <c r="I11" i="5" s="1"/>
  <c r="F7" i="5"/>
  <c r="G10" i="6"/>
  <c r="E32" i="2"/>
  <c r="G7" i="5"/>
  <c r="H10" i="6"/>
  <c r="F10" i="6"/>
  <c r="G28" i="2"/>
  <c r="F32" i="2"/>
  <c r="G20" i="6"/>
  <c r="D33" i="2"/>
  <c r="F20" i="6"/>
  <c r="E11" i="6"/>
  <c r="E33" i="2"/>
  <c r="F11" i="6"/>
  <c r="F33" i="2"/>
  <c r="G11" i="6"/>
  <c r="G33" i="2"/>
  <c r="D28" i="2"/>
  <c r="H33" i="2"/>
  <c r="E20" i="6"/>
  <c r="I33" i="2"/>
  <c r="D7" i="5"/>
  <c r="F28" i="2"/>
  <c r="D32" i="2"/>
  <c r="D27" i="4"/>
  <c r="J21" i="6"/>
  <c r="I20" i="2"/>
  <c r="J20" i="2"/>
  <c r="K21" i="6"/>
  <c r="N20" i="6"/>
  <c r="J11" i="5"/>
  <c r="N18" i="2"/>
  <c r="N8" i="5"/>
  <c r="D20" i="6"/>
  <c r="D18" i="6"/>
  <c r="L18" i="6"/>
  <c r="L21" i="6"/>
  <c r="C25" i="2"/>
  <c r="M25" i="2"/>
  <c r="F25" i="2"/>
  <c r="E21" i="6"/>
  <c r="E25" i="2"/>
  <c r="N13" i="2" l="1"/>
  <c r="N23" i="2"/>
  <c r="N10" i="5" s="1"/>
  <c r="L30" i="4"/>
  <c r="M20" i="6" s="1"/>
  <c r="J4" i="2"/>
  <c r="I4" i="3"/>
  <c r="I4" i="5" s="1"/>
  <c r="I4" i="4" s="1"/>
  <c r="J4" i="6" s="1"/>
  <c r="N20" i="3"/>
  <c r="N17" i="4" s="1"/>
  <c r="O23" i="6" s="1"/>
  <c r="N21" i="3"/>
  <c r="N16" i="4" s="1"/>
  <c r="M24" i="3"/>
  <c r="M11" i="5" s="1"/>
  <c r="L24" i="3"/>
  <c r="L11" i="5" s="1"/>
  <c r="L13" i="5" s="1"/>
  <c r="N11" i="2"/>
  <c r="N16" i="2"/>
  <c r="N19" i="2" s="1"/>
  <c r="N10" i="2"/>
  <c r="N24" i="2"/>
  <c r="N22" i="5" s="1"/>
  <c r="O7" i="2"/>
  <c r="O8" i="3" s="1"/>
  <c r="P14" i="6" s="1"/>
  <c r="N22" i="3"/>
  <c r="N38" i="4" s="1"/>
  <c r="N10" i="4"/>
  <c r="N11" i="4"/>
  <c r="N12" i="4"/>
  <c r="N8" i="3"/>
  <c r="O9" i="6"/>
  <c r="O5" i="6"/>
  <c r="N12" i="2"/>
  <c r="M18" i="6" l="1"/>
  <c r="J4" i="3"/>
  <c r="J4" i="5" s="1"/>
  <c r="J4" i="4" s="1"/>
  <c r="K4" i="6" s="1"/>
  <c r="M4" i="2"/>
  <c r="K4" i="2"/>
  <c r="K4" i="3" s="1"/>
  <c r="K4" i="5" s="1"/>
  <c r="L28" i="5"/>
  <c r="L30" i="5" s="1"/>
  <c r="L32" i="5"/>
  <c r="M15" i="6" s="1"/>
  <c r="M13" i="6"/>
  <c r="O14" i="6"/>
  <c r="N10" i="3"/>
  <c r="N15" i="3"/>
  <c r="N17" i="3" s="1"/>
  <c r="N23" i="3"/>
  <c r="N24" i="3" s="1"/>
  <c r="O23" i="2"/>
  <c r="O22" i="3"/>
  <c r="O38" i="4" s="1"/>
  <c r="O10" i="4"/>
  <c r="O24" i="2"/>
  <c r="O16" i="2"/>
  <c r="O12" i="4"/>
  <c r="O21" i="3"/>
  <c r="O20" i="3"/>
  <c r="P7" i="2"/>
  <c r="P21" i="3" s="1"/>
  <c r="O11" i="4"/>
  <c r="N14" i="2"/>
  <c r="O22" i="6"/>
  <c r="N20" i="2"/>
  <c r="N25" i="2"/>
  <c r="N26" i="2" s="1"/>
  <c r="N9" i="5"/>
  <c r="O7" i="6"/>
  <c r="N16" i="5"/>
  <c r="N18" i="5" s="1"/>
  <c r="K4" i="4" l="1"/>
  <c r="L4" i="6"/>
  <c r="N4" i="2"/>
  <c r="M4" i="3"/>
  <c r="M4" i="5" s="1"/>
  <c r="M4" i="4" s="1"/>
  <c r="N4" i="6" s="1"/>
  <c r="M16" i="6"/>
  <c r="L18" i="4"/>
  <c r="L19" i="4" s="1"/>
  <c r="L21" i="4" s="1"/>
  <c r="N11" i="5"/>
  <c r="O15" i="3"/>
  <c r="P23" i="2"/>
  <c r="P11" i="4"/>
  <c r="P24" i="2"/>
  <c r="P22" i="3"/>
  <c r="P38" i="4" s="1"/>
  <c r="P10" i="4"/>
  <c r="P20" i="3"/>
  <c r="P12" i="4"/>
  <c r="P16" i="2"/>
  <c r="P8" i="3"/>
  <c r="N12" i="5"/>
  <c r="N8" i="4"/>
  <c r="N13" i="4" s="1"/>
  <c r="O7" i="3"/>
  <c r="O9" i="3" s="1"/>
  <c r="O16" i="3" s="1"/>
  <c r="N12" i="3"/>
  <c r="O4" i="2" l="1"/>
  <c r="N4" i="3"/>
  <c r="N4" i="5" s="1"/>
  <c r="N4" i="4" s="1"/>
  <c r="O4" i="6" s="1"/>
  <c r="L39" i="4"/>
  <c r="M17" i="6"/>
  <c r="M21" i="6"/>
  <c r="P15" i="3"/>
  <c r="Q14" i="6"/>
  <c r="O17" i="3"/>
  <c r="N27" i="2"/>
  <c r="B29" i="6" s="1"/>
  <c r="P4" i="2" l="1"/>
  <c r="P4" i="3" s="1"/>
  <c r="P4" i="5" s="1"/>
  <c r="P4" i="4" s="1"/>
  <c r="Q4" i="6" s="1"/>
  <c r="O4" i="3"/>
  <c r="O4" i="5" s="1"/>
  <c r="O4" i="4" s="1"/>
  <c r="P4" i="6" s="1"/>
  <c r="N27" i="4"/>
  <c r="L37" i="4"/>
  <c r="L41" i="4"/>
  <c r="L43" i="4" s="1"/>
  <c r="M24" i="6" s="1"/>
  <c r="O12" i="6"/>
  <c r="N31" i="2"/>
  <c r="N38" i="2" s="1"/>
  <c r="N7" i="5"/>
  <c r="N13" i="5" s="1"/>
  <c r="O11" i="6"/>
  <c r="N28" i="2"/>
  <c r="O10" i="6"/>
  <c r="O8" i="5"/>
  <c r="O18" i="2"/>
  <c r="N33" i="2" l="1"/>
  <c r="N28" i="4"/>
  <c r="N21" i="5"/>
  <c r="O13" i="6"/>
  <c r="N32" i="5"/>
  <c r="O15" i="6" s="1"/>
  <c r="P9" i="6"/>
  <c r="P16" i="5"/>
  <c r="P18" i="5" s="1"/>
  <c r="Q7" i="6"/>
  <c r="O16" i="5"/>
  <c r="O18" i="5" s="1"/>
  <c r="O17" i="4"/>
  <c r="P23" i="6" s="1"/>
  <c r="O22" i="5"/>
  <c r="O9" i="5"/>
  <c r="O19" i="2"/>
  <c r="P17" i="4"/>
  <c r="Q23" i="6" s="1"/>
  <c r="P9" i="5"/>
  <c r="P11" i="2"/>
  <c r="P16" i="4"/>
  <c r="Q22" i="6" s="1"/>
  <c r="P10" i="2"/>
  <c r="Q5" i="6"/>
  <c r="P13" i="2"/>
  <c r="P12" i="2"/>
  <c r="P10" i="5"/>
  <c r="O13" i="2"/>
  <c r="O16" i="4"/>
  <c r="P22" i="6" s="1"/>
  <c r="O10" i="2"/>
  <c r="O11" i="2"/>
  <c r="P5" i="6"/>
  <c r="O12" i="2"/>
  <c r="O10" i="5"/>
  <c r="N25" i="5" l="1"/>
  <c r="N28" i="5" s="1"/>
  <c r="N30" i="5" s="1"/>
  <c r="O16" i="6" s="1"/>
  <c r="N29" i="4"/>
  <c r="O26" i="4" s="1"/>
  <c r="O10" i="3"/>
  <c r="P7" i="3" s="1"/>
  <c r="P9" i="3" s="1"/>
  <c r="P16" i="3" s="1"/>
  <c r="P17" i="3" s="1"/>
  <c r="P14" i="2"/>
  <c r="P7" i="6"/>
  <c r="O14" i="2"/>
  <c r="P23" i="3"/>
  <c r="O23" i="3"/>
  <c r="O25" i="2"/>
  <c r="O26" i="2" s="1"/>
  <c r="O12" i="5" s="1"/>
  <c r="O20" i="2"/>
  <c r="P22" i="5"/>
  <c r="P24" i="3" l="1"/>
  <c r="P11" i="5" s="1"/>
  <c r="O24" i="3"/>
  <c r="O11" i="5" s="1"/>
  <c r="N30" i="4"/>
  <c r="O18" i="6" s="1"/>
  <c r="O19" i="6"/>
  <c r="N18" i="4"/>
  <c r="N19" i="4" s="1"/>
  <c r="N21" i="4" s="1"/>
  <c r="O29" i="5"/>
  <c r="O8" i="4"/>
  <c r="O13" i="4" s="1"/>
  <c r="O12" i="3"/>
  <c r="P18" i="2"/>
  <c r="P8" i="5"/>
  <c r="P10" i="3"/>
  <c r="N37" i="4" l="1"/>
  <c r="O20" i="6"/>
  <c r="N39" i="4"/>
  <c r="N41" i="4" s="1"/>
  <c r="N43" i="4" s="1"/>
  <c r="O24" i="6" s="1"/>
  <c r="O21" i="6"/>
  <c r="O17" i="6"/>
  <c r="Q9" i="6"/>
  <c r="P19" i="2"/>
  <c r="O27" i="2"/>
  <c r="P8" i="4"/>
  <c r="P13" i="4" s="1"/>
  <c r="P12" i="3"/>
  <c r="O31" i="2" l="1"/>
  <c r="O38" i="2" s="1"/>
  <c r="P10" i="6"/>
  <c r="P11" i="6"/>
  <c r="O7" i="5"/>
  <c r="O13" i="5" s="1"/>
  <c r="O28" i="2"/>
  <c r="P12" i="6"/>
  <c r="O27" i="4"/>
  <c r="P20" i="2"/>
  <c r="P25" i="2"/>
  <c r="P26" i="2" s="1"/>
  <c r="P12" i="5" s="1"/>
  <c r="O28" i="4" l="1"/>
  <c r="O29" i="4" s="1"/>
  <c r="O21" i="5"/>
  <c r="O25" i="5" s="1"/>
  <c r="O28" i="5" s="1"/>
  <c r="O30" i="5" s="1"/>
  <c r="P16" i="6" s="1"/>
  <c r="O33" i="2"/>
  <c r="P13" i="6"/>
  <c r="O32" i="5"/>
  <c r="P15" i="6" s="1"/>
  <c r="P29" i="5" l="1"/>
  <c r="O18" i="4"/>
  <c r="O30" i="4"/>
  <c r="P19" i="6"/>
  <c r="P26" i="4"/>
  <c r="P27" i="2"/>
  <c r="P31" i="2" s="1"/>
  <c r="P38" i="2" s="1"/>
  <c r="O19" i="4" l="1"/>
  <c r="O21" i="4" s="1"/>
  <c r="O39" i="4" s="1"/>
  <c r="P18" i="6"/>
  <c r="P20" i="6"/>
  <c r="Q12" i="6"/>
  <c r="P7" i="5"/>
  <c r="P13" i="5" s="1"/>
  <c r="Q11" i="6"/>
  <c r="P28" i="2"/>
  <c r="P27" i="4"/>
  <c r="Q10" i="6"/>
  <c r="P33" i="2"/>
  <c r="O37" i="4" l="1"/>
  <c r="O41" i="4"/>
  <c r="O43" i="4" s="1"/>
  <c r="P24" i="6" s="1"/>
  <c r="P17" i="6"/>
  <c r="P21" i="6"/>
  <c r="P21" i="5"/>
  <c r="P25" i="5" s="1"/>
  <c r="P28" i="5" s="1"/>
  <c r="P30" i="5" s="1"/>
  <c r="Q16" i="6" s="1"/>
  <c r="P28" i="4"/>
  <c r="P29" i="4" s="1"/>
  <c r="P32" i="5"/>
  <c r="Q15" i="6" s="1"/>
  <c r="Q13" i="6"/>
  <c r="P18" i="4" l="1"/>
  <c r="P19" i="4" s="1"/>
  <c r="P21" i="4" s="1"/>
  <c r="Q19" i="6"/>
  <c r="P30" i="4"/>
  <c r="P37" i="4" l="1"/>
  <c r="Q18" i="6"/>
  <c r="Q20" i="6"/>
  <c r="P39" i="4"/>
  <c r="P41" i="4" s="1"/>
  <c r="P43" i="4" s="1"/>
  <c r="Q24" i="6" s="1"/>
  <c r="Q17" i="6"/>
  <c r="Q2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B7" authorId="0" shapeId="0" xr:uid="{71E2294A-A06E-4D89-9645-B23067D970CB}">
      <text>
        <r>
          <rPr>
            <b/>
            <sz val="9"/>
            <color indexed="81"/>
            <rFont val="Tahoma"/>
            <family val="2"/>
          </rPr>
          <t>Anvay:</t>
        </r>
        <r>
          <rPr>
            <sz val="9"/>
            <color indexed="81"/>
            <rFont val="Tahoma"/>
            <family val="2"/>
          </rPr>
          <t xml:space="preserve">
Total growth is expected to move from 10% → 11% → 11.5%, mainly driven by volume growth (6–9%) and some price increase (4–2.5%). Earlier, volumes grew at around 9.5% (as per management), but FY2025 was weak due to high prices and slower urban demand. Going forward, growth will improve because of expansion into rural areas (200K villages), strong distribution (5.3 million outlets), growth in coffee, and new launches like Nespresso. Price growth will reduce over time as coffee prices stabilize. Base revenue for FY2025 is ₹20,202 Cr.</t>
        </r>
      </text>
    </comment>
    <comment ref="B13" authorId="0" shapeId="0" xr:uid="{E3F7AD42-7C35-4C8D-BC5F-58291443D208}">
      <text>
        <r>
          <rPr>
            <b/>
            <sz val="9"/>
            <color indexed="81"/>
            <rFont val="Tahoma"/>
            <family val="2"/>
          </rPr>
          <t>Anvay:</t>
        </r>
        <r>
          <rPr>
            <sz val="9"/>
            <color indexed="81"/>
            <rFont val="Tahoma"/>
            <family val="2"/>
          </rPr>
          <t xml:space="preserve">
For FY26, material cost is taken at 37.6%, slightly higher than FY25, because coffee prices increased sharply (~75%). Coffee is a major cost for Nestlé’s beverages, and even after cost-saving initiatives (like Project Shark), this increase cannot be fully offset. So, a small rise is assumed.
From FY26 to FY28, costs are expected to fall to 36.8%. This is because commodity prices (like coffee) usually come down over time, and Nestlé’s increased production capacity improves efficiency and reduces waste. Past trends also show that material costs can stay around 33–36% when prices are stable.</t>
        </r>
      </text>
    </comment>
    <comment ref="B15" authorId="0" shapeId="0" xr:uid="{F36F5CB2-F6AB-469A-BD17-3F8874153914}">
      <text>
        <r>
          <rPr>
            <b/>
            <sz val="9"/>
            <color indexed="81"/>
            <rFont val="Tahoma"/>
            <family val="2"/>
          </rPr>
          <t>Anvay:</t>
        </r>
        <r>
          <rPr>
            <sz val="9"/>
            <color indexed="81"/>
            <rFont val="Tahoma"/>
            <family val="2"/>
          </rPr>
          <t xml:space="preserve">
For FY26, this cost is 10.7%, slightly higher than FY25 because of two reasons:
--&gt;New Odisha factory has initial fixed costs before full production starts
--&gt;Expanding distribution to villages increases last-mile delivery costs
However, some savings come from better supply chain systems and improved distribution efficiency.
From FY26 onwards, this cost stays stable at 10.5–10.7%. This is because Nestlé operates at a large scale, allowing it to get better transport deals, and this range is already an efficient level for such a wide distribution network.</t>
        </r>
      </text>
    </comment>
    <comment ref="B17" authorId="0" shapeId="0" xr:uid="{B0703909-B104-4206-921B-152FCCB0B42C}">
      <text>
        <r>
          <rPr>
            <b/>
            <sz val="9"/>
            <color indexed="81"/>
            <rFont val="Tahoma"/>
            <family val="2"/>
          </rPr>
          <t>Anvay:</t>
        </r>
        <r>
          <rPr>
            <sz val="9"/>
            <color indexed="81"/>
            <rFont val="Tahoma"/>
            <family val="2"/>
          </rPr>
          <t xml:space="preserve">
For FY26, employee cost is 10.2%, slightly higher than FY25 due to two reasons:
--&gt;New MD joined, so there are extra management and transition-related costs
--&gt;Odisha factory hiring and training (especially new workforce) adds upfront costs
From FY27 onwards, this cost reduces to around 10.0%. This is because revenue grows faster than employee count (thanks to AI and automation), and low employee turnover means less spending on hiring and training.</t>
        </r>
      </text>
    </comment>
    <comment ref="B19" authorId="0" shapeId="0" xr:uid="{490BB8EC-E791-4808-8EBC-72201E730407}">
      <text>
        <r>
          <rPr>
            <b/>
            <sz val="9"/>
            <color indexed="81"/>
            <rFont val="Tahoma"/>
            <family val="2"/>
          </rPr>
          <t>Anvay:</t>
        </r>
        <r>
          <rPr>
            <sz val="9"/>
            <color indexed="81"/>
            <rFont val="Tahoma"/>
            <family val="2"/>
          </rPr>
          <t xml:space="preserve">
Important: This is a residual cost. It is not assumed directly.
Formula:
Other Cost % = 1 − EBITDA − Material − Manufacturing − Employee
So whatever is left after these costs becomes “Other Cost.”
FY26 = 20.0%
FY27 = 20.1%
FY28 = 20.2%
This is higher than FY25 (18.7%) because Nestlé is increasing spending on:
--&gt;Advertising &amp; branding (digital, new product launches)
--&gt;New stores (like Nespresso boutiques)
--&gt;Rural expansion and activation programs
Why this method is correct:
In FMCG, EBITDA margin is the main focus and is guided by management. So we fix EBITDA first and calculate the remaining cost. This is better than guessing advertising/other costs separately, as they can change a lot.</t>
        </r>
      </text>
    </comment>
    <comment ref="B21" authorId="0" shapeId="0" xr:uid="{EB905F1C-0D8D-4C22-B37D-3BB481CD6FA9}">
      <text>
        <r>
          <rPr>
            <b/>
            <sz val="9"/>
            <color indexed="81"/>
            <rFont val="Tahoma"/>
            <family val="2"/>
          </rPr>
          <t>Anvay:</t>
        </r>
        <r>
          <rPr>
            <sz val="9"/>
            <color indexed="81"/>
            <rFont val="Tahoma"/>
            <family val="2"/>
          </rPr>
          <t xml:space="preserve">
Margins are expected to improve from 21.5% → 22.0% → 22.5%.
Management has guided a 20–21% range, but the model assumes slightly better performance due to cost savings (Project Shark), operating leverage, and more premium products (like Nespresso &amp; pet care). Main risk is rising coffee prices — higher costs can directly reduce margins. Historically, margins have ranged between 20% and 24%.
</t>
        </r>
      </text>
    </comment>
    <comment ref="B23" authorId="0" shapeId="0" xr:uid="{5E25F604-E626-41D8-B656-B6256AB731BA}">
      <text>
        <r>
          <rPr>
            <b/>
            <sz val="9"/>
            <color indexed="81"/>
            <rFont val="Tahoma"/>
            <family val="2"/>
          </rPr>
          <t>Anvay:</t>
        </r>
        <r>
          <rPr>
            <sz val="9"/>
            <color indexed="81"/>
            <rFont val="Tahoma"/>
            <family val="2"/>
          </rPr>
          <t xml:space="preserve">
Other income is expected at ~1.6% → 1.6% → 1.5% of revenue (₹355 → 395 → 413 Cr).
FY2025 actual is 1.74%. It mainly comes from mutual fund returns, JV dividend (Dr Reddy’s), and other income.
Slight decline is assumed as some mutual funds are sold to fund the Odisha capex.</t>
        </r>
      </text>
    </comment>
    <comment ref="B25" authorId="0" shapeId="0" xr:uid="{1941976E-FAD2-4F43-974E-A5AB53712186}">
      <text>
        <r>
          <rPr>
            <b/>
            <sz val="9"/>
            <color indexed="81"/>
            <rFont val="Tahoma"/>
            <family val="2"/>
          </rPr>
          <t>Anvay:</t>
        </r>
        <r>
          <rPr>
            <sz val="9"/>
            <color indexed="81"/>
            <rFont val="Tahoma"/>
            <family val="2"/>
          </rPr>
          <t xml:space="preserve">
Depreciation is expected to increase from 9.3% → 9.6% → 9.9% of opening net block.
FY2025 actual is ~9.9%. It is linked to the PP&amp;E schedule and calculated using the straight-line method (15–25 years life).
The rate is rising because newer assets (like Odisha plant with shorter life) are increasing in mix. Opening net block is used instead of average, making it a conservative assumption.</t>
        </r>
      </text>
    </comment>
    <comment ref="B27" authorId="0" shapeId="0" xr:uid="{7C05C8C2-B0F1-4714-AA0C-C0A567D5E765}">
      <text>
        <r>
          <rPr>
            <b/>
            <sz val="9"/>
            <color indexed="81"/>
            <rFont val="Tahoma"/>
            <family val="2"/>
          </rPr>
          <t>Anvay:</t>
        </r>
        <r>
          <rPr>
            <sz val="9"/>
            <color indexed="81"/>
            <rFont val="Tahoma"/>
            <family val="2"/>
          </rPr>
          <t xml:space="preserve">
Interest cost is expected at ~1.0% → 0.9% → 0.8% of revenue.
FY2025 actual is 0.67%, but the model is slightly higher due to lease-related interest (Ind AS 116), especially from the new Odisha plant.
Includes interest on lease liabilities (~₹45–50 Cr) and some debt (~₹70–80 Cr).
Overall, the company remains largely debt-free (cash is higher than debt).</t>
        </r>
      </text>
    </comment>
    <comment ref="B29" authorId="0" shapeId="0" xr:uid="{D33238D2-E2E8-4BC8-B8EE-5B3052387E1F}">
      <text>
        <r>
          <rPr>
            <b/>
            <sz val="9"/>
            <color indexed="81"/>
            <rFont val="Tahoma"/>
            <family val="2"/>
          </rPr>
          <t>Anvay:</t>
        </r>
        <r>
          <rPr>
            <sz val="9"/>
            <color indexed="81"/>
            <rFont val="Tahoma"/>
            <family val="2"/>
          </rPr>
          <t xml:space="preserve">
Tax rate is assumed at 25.5% for all projected years.
Since CY2019, the company follows the new tax regime (~25% + surcharge).
Recent actuals are around 25–26%, with FY2025 at 25.5%.
No major changes expected, so a stable rate is assumed.</t>
        </r>
      </text>
    </comment>
    <comment ref="B31" authorId="0" shapeId="0" xr:uid="{1ACD68DC-84E1-4951-BD52-4B164A7FC368}">
      <text>
        <r>
          <rPr>
            <b/>
            <sz val="9"/>
            <color indexed="81"/>
            <rFont val="Tahoma"/>
            <family val="2"/>
          </rPr>
          <t>Anvay:</t>
        </r>
        <r>
          <rPr>
            <sz val="9"/>
            <color indexed="81"/>
            <rFont val="Tahoma"/>
            <family val="2"/>
          </rPr>
          <t xml:space="preserve">
Dividend payout is expected at 65% → 68% → 72% of PAT.
FY2025 actual was higher at ~74%, but the model lowers it slightly in FY26 to conserve cash during heavy capex (Odisha plant).
Payout gradually increases again as capex normalises.
Normal range is 65–80%, excluding FY2019 which had an unusually high payout due to a special dividend.</t>
        </r>
      </text>
    </comment>
    <comment ref="B36" authorId="0" shapeId="0" xr:uid="{903DD88C-0A01-41D8-9514-A960FC9D9BFD}">
      <text>
        <r>
          <rPr>
            <b/>
            <sz val="9"/>
            <color indexed="81"/>
            <rFont val="Tahoma"/>
            <family val="2"/>
          </rPr>
          <t>Anvay:</t>
        </r>
        <r>
          <rPr>
            <sz val="9"/>
            <color indexed="81"/>
            <rFont val="Tahoma"/>
            <family val="2"/>
          </rPr>
          <t xml:space="preserve">
Capex is expected to decline from 7.0% → 6.5% → 5.5% of revenue (₹1,556 → 1,603 → 1,513 Cr).
FY2025 was high at 9.3% due to peak investment in the Odisha plant.
Spending will reduce as major capacity additions are completed and the new factory becomes operational by FY26.
Long term, capex should stabilize around 4–5% (maintenance level).
It directly links to PP&amp;E: Opening NB + Capex − Depreciation = Closing NB.
</t>
        </r>
      </text>
    </comment>
    <comment ref="B37" authorId="0" shapeId="0" xr:uid="{F136314A-C893-482F-9658-C546FC91794A}">
      <text>
        <r>
          <rPr>
            <b/>
            <sz val="9"/>
            <color indexed="81"/>
            <rFont val="Tahoma"/>
            <family val="2"/>
          </rPr>
          <t>Anvay:</t>
        </r>
        <r>
          <rPr>
            <sz val="9"/>
            <color indexed="81"/>
            <rFont val="Tahoma"/>
            <family val="2"/>
          </rPr>
          <t xml:space="preserve">
Receivable days are assumed at ~7 days across all years.
FY2025 actual is ~6.6 days.
FMCG works on a cash or very short credit cycle, so there is limited scope for further improvement.
With a large distributor network and strict credit terms, this remains very stable over time.</t>
        </r>
      </text>
    </comment>
    <comment ref="B38" authorId="0" shapeId="0" xr:uid="{CEF27487-4E18-4EAA-90E8-D5FBC45370CB}">
      <text>
        <r>
          <rPr>
            <b/>
            <sz val="9"/>
            <color indexed="81"/>
            <rFont val="Tahoma"/>
            <family val="2"/>
          </rPr>
          <t>Anvay:</t>
        </r>
        <r>
          <rPr>
            <sz val="9"/>
            <color indexed="81"/>
            <rFont val="Tahoma"/>
            <family val="2"/>
          </rPr>
          <t xml:space="preserve">
Inventory days are expected to improve slightly from 52 → 51 → 50 days.
FY2025 actual is ~51.5 days.
Inventory remains high due to multi-category needs—raw materials (like coffee), packaging, WIP, and finished goods.
Some improvement is expected from better demand forecasting (AI tools), but a sharp decline isn’t possible due to import lead times for key inputs like coffee and cocoa.
</t>
        </r>
      </text>
    </comment>
    <comment ref="B39" authorId="0" shapeId="0" xr:uid="{394FBFED-093C-403A-8D53-834BABD7CDCC}">
      <text>
        <r>
          <rPr>
            <b/>
            <sz val="9"/>
            <color indexed="81"/>
            <rFont val="Tahoma"/>
            <family val="2"/>
          </rPr>
          <t>Anvay:</t>
        </r>
        <r>
          <rPr>
            <sz val="9"/>
            <color indexed="81"/>
            <rFont val="Tahoma"/>
            <family val="2"/>
          </rPr>
          <t xml:space="preserve">
Payable days are expected to increase slightly from 50 → 51 → 52 days.
FY2025 actual is ~48 days.
The company has strong bargaining power but maintains fair payment terms to support long-term supplier relationships.
A small increase is assumed with scale, but it remains capped due to this approach.</t>
        </r>
      </text>
    </comment>
    <comment ref="B40" authorId="0" shapeId="0" xr:uid="{F39F14E8-8030-4618-8520-254F2E97B252}">
      <text>
        <r>
          <rPr>
            <b/>
            <sz val="9"/>
            <color indexed="81"/>
            <rFont val="Tahoma"/>
            <family val="2"/>
          </rPr>
          <t>Anvay:</t>
        </r>
        <r>
          <rPr>
            <sz val="9"/>
            <color indexed="81"/>
            <rFont val="Tahoma"/>
            <family val="2"/>
          </rPr>
          <t xml:space="preserve">
Other current liabilities are expected to slightly decline from 34.0% → 33.8% → 33.6% of revenue.
FY2025 actual is ~34.8%. It includes payables, customer advances, and statutory dues.
The decline is due to a shift toward modern trade and quick commerce, where advances are lower.
In projections, this acts as a plug to balance the balance sheet, while trade payables are linked separately to payable days.</t>
        </r>
      </text>
    </comment>
    <comment ref="B41" authorId="0" shapeId="0" xr:uid="{D0CCEC37-B84D-4814-A541-08BC6886304F}">
      <text>
        <r>
          <rPr>
            <b/>
            <sz val="9"/>
            <color indexed="81"/>
            <rFont val="Tahoma"/>
            <family val="2"/>
          </rPr>
          <t>Anvay:</t>
        </r>
        <r>
          <rPr>
            <sz val="9"/>
            <color indexed="81"/>
            <rFont val="Tahoma"/>
            <family val="2"/>
          </rPr>
          <t xml:space="preserve">
Other non-current assets are expected at ~4.4% → 4.2% → 4.1% of revenue (₹978 → 1,036 → 1,128 Cr).
FY2025 actual is lower at ~3.5%.
This includes mutual fund investments, JV stake (Dr Reddy’s), and deposits.
Increase is driven by higher cash generation, which gets invested in liquid funds, along with steady growth from the JV.</t>
        </r>
      </text>
    </comment>
    <comment ref="B42" authorId="0" shapeId="0" xr:uid="{F7378031-E423-4DF5-9BCB-614E90E3A1E6}">
      <text>
        <r>
          <rPr>
            <b/>
            <sz val="9"/>
            <color indexed="81"/>
            <rFont val="Tahoma"/>
            <family val="2"/>
          </rPr>
          <t>Anvay:</t>
        </r>
        <r>
          <rPr>
            <sz val="9"/>
            <color indexed="81"/>
            <rFont val="Tahoma"/>
            <family val="2"/>
          </rPr>
          <t xml:space="preserve">
</t>
        </r>
      </text>
    </comment>
    <comment ref="B43" authorId="0" shapeId="0" xr:uid="{D50C6346-84BF-495D-8655-B2E7C71C8A1A}">
      <text>
        <r>
          <rPr>
            <b/>
            <sz val="9"/>
            <color indexed="81"/>
            <rFont val="Tahoma"/>
            <family val="2"/>
          </rPr>
          <t>Anvay:</t>
        </r>
        <r>
          <rPr>
            <sz val="9"/>
            <color indexed="81"/>
            <rFont val="Tahoma"/>
            <family val="2"/>
          </rPr>
          <t xml:space="preserve">
Other non-current assets are expected to decline from 6.0% → 5.8% → 5.6% of revenue (₹1,333 → 1,431 → 1,540 Cr).
FY2025 actual is higher at ~7.8%.
This mainly includes deferred tax assets and other long-term items.
The decline is due to gradual unwinding of deferred tax assets as tax payments normalise. Conservative assumption.</t>
        </r>
      </text>
    </comment>
    <comment ref="B44" authorId="0" shapeId="0" xr:uid="{F1AF8705-967D-427D-8A8C-96BC0D6801D0}">
      <text>
        <r>
          <rPr>
            <b/>
            <sz val="9"/>
            <color indexed="81"/>
            <rFont val="Tahoma"/>
            <family val="2"/>
          </rPr>
          <t>Anvay:</t>
        </r>
        <r>
          <rPr>
            <sz val="9"/>
            <color indexed="81"/>
            <rFont val="Tahoma"/>
            <family val="2"/>
          </rPr>
          <t xml:space="preserve">
Other investing cash inflows are expected to normalize at ₹100 → 80 → 60 Cr.
FY2025 was unusually high at ₹645 Cr due to mutual fund redemptions for Odisha capex.
Normal levels include MF interest, small asset sales, and routine investment activity.
Decline is assumed as MF liquidation completes and the portfolio stabilizes.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L7" authorId="0" shapeId="0" xr:uid="{54E17BCF-778D-49A6-8111-D91BABD84887}">
      <text>
        <r>
          <rPr>
            <b/>
            <sz val="9"/>
            <color indexed="81"/>
            <rFont val="Tahoma"/>
            <family val="2"/>
          </rPr>
          <t>Anvay:</t>
        </r>
        <r>
          <rPr>
            <sz val="9"/>
            <color indexed="81"/>
            <rFont val="Tahoma"/>
            <family val="2"/>
          </rPr>
          <t xml:space="preserve">
While building the Nestlé India financial model, I first adjusted FY2024 because it was not a normal 12-month year but a 15-month transition period (Jan 2023 to Mar 2024).
So instead of comparing it directly, I converted it to a 12-month equivalent using (/15 × 12) to ensure proper comparability with other years.
</t>
        </r>
      </text>
    </comment>
    <comment ref="M8" authorId="0" shapeId="0" xr:uid="{D633B368-0A18-4CCA-910C-FCFB92C34D15}">
      <text>
        <r>
          <rPr>
            <b/>
            <sz val="9"/>
            <color indexed="81"/>
            <rFont val="Tahoma"/>
            <family val="2"/>
          </rPr>
          <t>Anvay:</t>
        </r>
        <r>
          <rPr>
            <sz val="9"/>
            <color indexed="81"/>
            <rFont val="Tahoma"/>
            <family val="2"/>
          </rPr>
          <t xml:space="preserve">
Growth not shown (NA) as FY2024 base is a 12M normalized estimate from a 15M period, not an actual reported figure. Using it may distort YoY growth. To avoid misleading precision, growth will be calculated once the adjusted base is fully validated.
</t>
        </r>
      </text>
    </comment>
    <comment ref="L10" authorId="0" shapeId="0" xr:uid="{2FF9592F-CFB5-49AD-9ED2-A2BF381D3A33}">
      <text>
        <r>
          <rPr>
            <b/>
            <sz val="9"/>
            <color indexed="81"/>
            <rFont val="Tahoma"/>
            <family val="2"/>
          </rPr>
          <t>Anvay:</t>
        </r>
        <r>
          <rPr>
            <sz val="9"/>
            <color indexed="81"/>
            <rFont val="Tahoma"/>
            <family val="2"/>
          </rPr>
          <t xml:space="preserve">
In operating expenses, one challenge was that some line items like raw material and employee cost were missing, so I didn’t leave them blank.
Instead, I took the cost structure mix from CY2023 and used the same proportions to reconstruct FY2024 expenses, ensuring the cost structure remains logical and consistent.
</t>
        </r>
      </text>
    </comment>
    <comment ref="L37" authorId="0" shapeId="0" xr:uid="{AB1563D4-4A1E-400F-9AD2-309A00C20387}">
      <text>
        <r>
          <rPr>
            <b/>
            <sz val="9"/>
            <color indexed="81"/>
            <rFont val="Tahoma"/>
            <family val="2"/>
          </rPr>
          <t>Anvay:</t>
        </r>
        <r>
          <rPr>
            <sz val="9"/>
            <color indexed="81"/>
            <rFont val="Tahoma"/>
            <family val="2"/>
          </rPr>
          <t xml:space="preserve">
EPS was initially distorted because using PAT directly caused a spike due to the 15-month period.
So, I smoothed EPS using a growth-based approach to ensure the earnings trend looks realistic and stable.
</t>
        </r>
      </text>
    </comment>
    <comment ref="L38" authorId="0" shapeId="0" xr:uid="{868179CE-A73B-4D4D-A482-984EBC3434F8}">
      <text>
        <r>
          <rPr>
            <b/>
            <sz val="9"/>
            <color indexed="81"/>
            <rFont val="Tahoma"/>
            <family val="2"/>
          </rPr>
          <t>Anvay:</t>
        </r>
        <r>
          <rPr>
            <sz val="9"/>
            <color indexed="81"/>
            <rFont val="Tahoma"/>
            <family val="2"/>
          </rPr>
          <t xml:space="preserve">
I kept shares outstanding constant at 96.42 crore to avoid unnecessary volatility in EPS.
Dividend per share is calculated using the correct formula (dividends ÷ shares), ensuring accurate per-share metrics.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L8" authorId="0" shapeId="0" xr:uid="{F71F6A07-EF29-4B32-95C5-40B5CFE6E194}">
      <text>
        <r>
          <rPr>
            <b/>
            <sz val="9"/>
            <color indexed="81"/>
            <rFont val="Tahoma"/>
            <family val="2"/>
          </rPr>
          <t>Anvay:</t>
        </r>
        <r>
          <rPr>
            <sz val="9"/>
            <color indexed="81"/>
            <rFont val="Tahoma"/>
            <family val="2"/>
          </rPr>
          <t xml:space="preserve">
I added capex and subtracted depreciation to arrive at closing net block.
Since FY2024 was a 15-month period, I normalized capex and depreciation using (/15 × 12) to make them comparable with other years.
I also adjusted CWIP, and calculated total fixed assets as net block + CWIP.</t>
        </r>
      </text>
    </comment>
    <comment ref="L15" authorId="0" shapeId="0" xr:uid="{F2D7C2EF-B1D1-450A-B1D5-08E610A50A9B}">
      <text>
        <r>
          <rPr>
            <b/>
            <sz val="9"/>
            <color indexed="81"/>
            <rFont val="Tahoma"/>
            <family val="2"/>
          </rPr>
          <t>Anvay:</t>
        </r>
        <r>
          <rPr>
            <sz val="9"/>
            <color indexed="81"/>
            <rFont val="Tahoma"/>
            <family val="2"/>
          </rPr>
          <t xml:space="preserve">
I created a gross block schedule where gross block minus accumulated depreciation always equals net block.
Since FY2023 data was missing, I reconstructed it using the previous year’s gross block and capex.
For FY2024, instead of direct scaling, I added adjusted capex to opening gross block to get closing, and then balanced accumulated depreciation using the net block.</t>
        </r>
      </text>
    </comment>
    <comment ref="L20" authorId="0" shapeId="0" xr:uid="{EAF05161-7DE7-4ECD-8E6A-F117E891F7C4}">
      <text>
        <r>
          <rPr>
            <b/>
            <sz val="9"/>
            <color indexed="81"/>
            <rFont val="Tahoma"/>
            <family val="2"/>
          </rPr>
          <t>Anvay:</t>
        </r>
        <r>
          <rPr>
            <sz val="9"/>
            <color indexed="81"/>
            <rFont val="Tahoma"/>
            <family val="2"/>
          </rPr>
          <t xml:space="preserve">
In the working capital schedule, I estimated receivables, inventory, and payables as a percentage of revenue, since these are balance sheet items and are not directly scaled.
For FY2024, I used CY2023 ratios to keep the numbers realistic.
Net working capital is calculated as receivables + inventory − payables, and the change in working capital is derived year-on-year to capture the cash flow impact.
</t>
        </r>
      </text>
    </comment>
    <comment ref="L27" authorId="0" shapeId="0" xr:uid="{034D7808-7888-48BC-A675-F23FCB542728}">
      <text>
        <r>
          <rPr>
            <b/>
            <sz val="9"/>
            <color indexed="81"/>
            <rFont val="Tahoma"/>
            <family val="2"/>
          </rPr>
          <t>Anvay:</t>
        </r>
        <r>
          <rPr>
            <sz val="9"/>
            <color indexed="81"/>
            <rFont val="Tahoma"/>
            <family val="2"/>
          </rPr>
          <t xml:space="preserve">
In the borrowings schedule, I have tracked long-term, short-term, and lease liabilities separately and then calculated total borrowings.
Since these are point-in-time balance sheet items, I have not adjusted or scaled them, but simply carried them forward.
</t>
        </r>
      </text>
    </comment>
    <comment ref="N27" authorId="0" shapeId="0" xr:uid="{B8FBD051-42B4-4DE5-8117-03455DEE69A5}">
      <text>
        <r>
          <rPr>
            <b/>
            <sz val="9"/>
            <color indexed="81"/>
            <rFont val="Tahoma"/>
            <family val="2"/>
          </rPr>
          <t>Anvay:</t>
        </r>
        <r>
          <rPr>
            <sz val="9"/>
            <color indexed="81"/>
            <rFont val="Tahoma"/>
            <family val="2"/>
          </rPr>
          <t xml:space="preserve">
Historical range ₹15–35 Cr; minor term loans</t>
        </r>
      </text>
    </comment>
    <comment ref="N28" authorId="0" shapeId="0" xr:uid="{403D6A29-60D3-4337-888E-70BF81074B0D}">
      <text>
        <r>
          <rPr>
            <b/>
            <sz val="9"/>
            <color indexed="81"/>
            <rFont val="Tahoma"/>
            <family val="2"/>
          </rPr>
          <t>Anvay:</t>
        </r>
        <r>
          <rPr>
            <sz val="9"/>
            <color indexed="81"/>
            <rFont val="Tahoma"/>
            <family val="2"/>
          </rPr>
          <t xml:space="preserve">
Normalising as capex peak passes; assume ~50% drawdown each year</t>
        </r>
      </text>
    </comment>
    <comment ref="N29" authorId="0" shapeId="0" xr:uid="{C84021E6-33F9-42A8-8227-0FFFFBDB4FEA}">
      <text>
        <r>
          <rPr>
            <b/>
            <sz val="9"/>
            <color indexed="81"/>
            <rFont val="Tahoma"/>
            <family val="2"/>
          </rPr>
          <t>Anvay:</t>
        </r>
        <r>
          <rPr>
            <sz val="9"/>
            <color indexed="81"/>
            <rFont val="Tahoma"/>
            <family val="2"/>
          </rPr>
          <t xml:space="preserve">
IND AS 116 — factory and office leases stable; slight increase with Odisha</t>
        </r>
      </text>
    </comment>
  </commentList>
</comments>
</file>

<file path=xl/sharedStrings.xml><?xml version="1.0" encoding="utf-8"?>
<sst xmlns="http://schemas.openxmlformats.org/spreadsheetml/2006/main" count="256" uniqueCount="218">
  <si>
    <t>A.  REVENUE DRIVERS</t>
  </si>
  <si>
    <t>Assumption</t>
  </si>
  <si>
    <t>FY2025-26E</t>
  </si>
  <si>
    <t>FY2026-27E</t>
  </si>
  <si>
    <t>FY2027-28E</t>
  </si>
  <si>
    <t xml:space="preserve">   Volume Growth (% YoY)</t>
  </si>
  <si>
    <t xml:space="preserve">   Pricing Growth (% YoY)</t>
  </si>
  <si>
    <t xml:space="preserve">   Total Revenue Growth</t>
  </si>
  <si>
    <t>B.  MARGIN &amp; PROFITABILITY</t>
  </si>
  <si>
    <t xml:space="preserve">   EBITDA Margin (%)</t>
  </si>
  <si>
    <t xml:space="preserve">   Other Income (% Rev)</t>
  </si>
  <si>
    <t xml:space="preserve">   Depreciation (% Open NB)</t>
  </si>
  <si>
    <t xml:space="preserve">   Interest / Finance Costs</t>
  </si>
  <si>
    <t xml:space="preserve">   Effective Tax Rate</t>
  </si>
  <si>
    <t xml:space="preserve">   Dividend Payout Ratio</t>
  </si>
  <si>
    <t>C.  CAPEX &amp; BALANCE SHEET DRIVERS</t>
  </si>
  <si>
    <t xml:space="preserve">   Capex (% Revenue)</t>
  </si>
  <si>
    <t xml:space="preserve">   Receivable Days</t>
  </si>
  <si>
    <t xml:space="preserve">   Inventory Days</t>
  </si>
  <si>
    <t xml:space="preserve">   Payable Days (TP+Adv)</t>
  </si>
  <si>
    <t xml:space="preserve">   Other Liabilities (% Rev)</t>
  </si>
  <si>
    <t>D.  KEY MANAGEMENT COMMENTARY (Feb 2025 Analyst Meet)</t>
  </si>
  <si>
    <t xml:space="preserve">  ► Revenue:</t>
  </si>
  <si>
    <t xml:space="preserve">  ► Margins:</t>
  </si>
  <si>
    <t xml:space="preserve">  ► Capex:</t>
  </si>
  <si>
    <t xml:space="preserve">  ► Growth:</t>
  </si>
  <si>
    <t xml:space="preserve">  ► Risks:</t>
  </si>
  <si>
    <t>NESTLÉ INDIA LIMITED  |  INCOME STATEMENT</t>
  </si>
  <si>
    <t>◄  HISTORICAL  ►</t>
  </si>
  <si>
    <t>◄  FORECAST  ►</t>
  </si>
  <si>
    <t>(INR Crores)</t>
  </si>
  <si>
    <t>REVENUE</t>
  </si>
  <si>
    <t>Net Revenue / Sales</t>
  </si>
  <si>
    <t xml:space="preserve">  YoY Revenue Growth</t>
  </si>
  <si>
    <t>OPERATING EXPENSES  (% assumptions on Assumptions sheet)</t>
  </si>
  <si>
    <t xml:space="preserve">      Raw Material &amp; Packing Costs</t>
  </si>
  <si>
    <t xml:space="preserve">      Manufacturing, Power &amp; Distribution</t>
  </si>
  <si>
    <t xml:space="preserve">      Employee Costs</t>
  </si>
  <si>
    <t xml:space="preserve">      Selling, Admin &amp; Other Operating Costs</t>
  </si>
  <si>
    <t>Total Operating Expenses</t>
  </si>
  <si>
    <t>EBITDA</t>
  </si>
  <si>
    <t>EBITDA  (Operating Profit)</t>
  </si>
  <si>
    <t xml:space="preserve">  EBITDA Margin (%)</t>
  </si>
  <si>
    <t xml:space="preserve">      Less: Depreciation &amp; Amortisation</t>
  </si>
  <si>
    <t>EBIT  (Operating Profit after Dep)</t>
  </si>
  <si>
    <t xml:space="preserve">  EBIT Margin (%)</t>
  </si>
  <si>
    <t>BELOW EBIT</t>
  </si>
  <si>
    <t xml:space="preserve">      Add: Other Income  (investments, misc.)</t>
  </si>
  <si>
    <t xml:space="preserve">      Less: Finance Costs / Interest</t>
  </si>
  <si>
    <t>Profit Before Tax  (PBT)</t>
  </si>
  <si>
    <t xml:space="preserve">      Less: Income Tax</t>
  </si>
  <si>
    <t>NET PROFIT  (PAT)</t>
  </si>
  <si>
    <t xml:space="preserve">  PAT Margin (%)</t>
  </si>
  <si>
    <t>EARNINGS DISTRIBUTION</t>
  </si>
  <si>
    <t xml:space="preserve">      Dividends Paid  (actual CFS-sourced for history)</t>
  </si>
  <si>
    <t xml:space="preserve">  Payout Ratio (actual paid / PAT)</t>
  </si>
  <si>
    <t xml:space="preserve">  Retained Earnings  (PAT - Dividends)</t>
  </si>
  <si>
    <t>KEY PER SHARE METRICS</t>
  </si>
  <si>
    <t xml:space="preserve">      Shares Outstanding (Crores)</t>
  </si>
  <si>
    <t xml:space="preserve">      Earnings Per Share (EPS) — ₹</t>
  </si>
  <si>
    <t xml:space="preserve">      Dividend Per Share (DPS) — ₹</t>
  </si>
  <si>
    <t>NESTLÉ INDIA LIMITED  |  SUPPORTING SCHEDULES</t>
  </si>
  <si>
    <t>SCHEDULE 1:  PP&amp;E ROLL-FORWARD  (Net Block)</t>
  </si>
  <si>
    <t>Opening Net Block  (BOY)</t>
  </si>
  <si>
    <t xml:space="preserve">      Add: Capital Expenditure  (actual CFS for history)</t>
  </si>
  <si>
    <t>Closing Net Block  (EOY)</t>
  </si>
  <si>
    <t xml:space="preserve">  Capital Work in Progress  (CWIP)</t>
  </si>
  <si>
    <t>Total Fixed Assets  (Net Block + CWIP)</t>
  </si>
  <si>
    <t>SCHEDULE 1B:  GROSS BLOCK DETAIL  (₹ Crores, Net = Gross − Accum Dep)</t>
  </si>
  <si>
    <t xml:space="preserve">  Gross Block</t>
  </si>
  <si>
    <t xml:space="preserve">  Accumulated Depreciation</t>
  </si>
  <si>
    <t xml:space="preserve">  Net Block  (check vs Schedule 1 above)</t>
  </si>
  <si>
    <t>SCHEDULE 2:  WORKING CAPITAL SCHEDULE</t>
  </si>
  <si>
    <t xml:space="preserve">      Trade Receivables</t>
  </si>
  <si>
    <t xml:space="preserve">      Inventories</t>
  </si>
  <si>
    <t xml:space="preserve">      Trade Payables + Advance from Customers</t>
  </si>
  <si>
    <t>Net Working Capital  (Recv + Inv − Payables)</t>
  </si>
  <si>
    <t xml:space="preserve">  Change in NWC  (ΔWC — increase = cash outflow)</t>
  </si>
  <si>
    <t>SCHEDULE 3:  BORROWINGS SPLIT  (LT / ST / Lease)</t>
  </si>
  <si>
    <t xml:space="preserve">      Long-term Borrowings</t>
  </si>
  <si>
    <t xml:space="preserve">      Short-term Borrowings</t>
  </si>
  <si>
    <t xml:space="preserve">      Lease Liabilities  (INDAS-116)</t>
  </si>
  <si>
    <t xml:space="preserve">  Total Borrowings  (LT + ST + Lease)</t>
  </si>
  <si>
    <t>NESTLÉ INDIA LIMITED  |  BALANCE SHEET</t>
  </si>
  <si>
    <t>ASSETS</t>
  </si>
  <si>
    <t>NON-CURRENT ASSETS</t>
  </si>
  <si>
    <t xml:space="preserve">      Net Block  (PP&amp;E)</t>
  </si>
  <si>
    <t xml:space="preserve">      Capital Work in Progress</t>
  </si>
  <si>
    <t xml:space="preserve">      Investments  (MF, JV, LT)</t>
  </si>
  <si>
    <t xml:space="preserve">      Loans &amp; Advances  (NCA)</t>
  </si>
  <si>
    <t xml:space="preserve">      Other NCA  (def tax, security deposits, other)</t>
  </si>
  <si>
    <t>TOTAL NON-CURRENT ASSETS</t>
  </si>
  <si>
    <t>CURRENT ASSETS</t>
  </si>
  <si>
    <t xml:space="preserve">      Cash &amp; Cash Equivalents  ← from Cash Flow Statement</t>
  </si>
  <si>
    <t>TOTAL CURRENT ASSETS</t>
  </si>
  <si>
    <t>TOTAL ASSETS</t>
  </si>
  <si>
    <t>EQUITY &amp; LIABILITIES</t>
  </si>
  <si>
    <t>SHAREHOLDERS' EQUITY</t>
  </si>
  <si>
    <t xml:space="preserve">      Equity Share Capital  (face ₹1, post-split)</t>
  </si>
  <si>
    <t xml:space="preserve">      Opening Reserves &amp; Surplus  (BOY)</t>
  </si>
  <si>
    <t xml:space="preserve">          Add: Net Profit  (from IS)</t>
  </si>
  <si>
    <t xml:space="preserve">          Less: Dividends Paid  (from IS)</t>
  </si>
  <si>
    <t xml:space="preserve">      Closing Reserves &amp; Surplus  (EOY)</t>
  </si>
  <si>
    <t>TOTAL SHAREHOLDERS' EQUITY</t>
  </si>
  <si>
    <t>NON-CURRENT LIABILITIES</t>
  </si>
  <si>
    <t xml:space="preserve">      Borrowings  (LT + ST + Lease Liabilities)</t>
  </si>
  <si>
    <t>TOTAL NON-CURRENT LIABILITIES</t>
  </si>
  <si>
    <t>CURRENT LIABILITIES</t>
  </si>
  <si>
    <t xml:space="preserve">      Trade Payables, Statutory &amp; Other Current Liabilities</t>
  </si>
  <si>
    <t xml:space="preserve">            ↳ Of which: Trade Payables</t>
  </si>
  <si>
    <t>TOTAL CURRENT LIABILITIES</t>
  </si>
  <si>
    <t>TOTAL LIABILITIES &amp; EQUITY</t>
  </si>
  <si>
    <t>★  BALANCE CHECK  (= 0 means model balances perfectly)</t>
  </si>
  <si>
    <t>NESTLÉ INDIA LIMITED  |  CASH FLOW STATEMENT  (Indirect Method)</t>
  </si>
  <si>
    <t>A.  CASH FLOW FROM OPERATIONS  (CFO)</t>
  </si>
  <si>
    <t>Net Profit After Tax  (PAT)</t>
  </si>
  <si>
    <t xml:space="preserve">      Add: Depreciation  (non-cash)</t>
  </si>
  <si>
    <t xml:space="preserve">      Add: Finance Costs  (added back)</t>
  </si>
  <si>
    <t xml:space="preserve">      Less: Other Income  (deducted — classified under CFI)</t>
  </si>
  <si>
    <t xml:space="preserve">      Change in Working Capital  (ΔWC — increase = outflow)</t>
  </si>
  <si>
    <t xml:space="preserve">      Less: Direct Taxes Paid</t>
  </si>
  <si>
    <t>CASH FROM OPERATIONS  (CFO)</t>
  </si>
  <si>
    <t>B.  CASH FLOW FROM INVESTING  (CFI)</t>
  </si>
  <si>
    <t xml:space="preserve">      Capital Expenditure  (purchase of fixed assets)</t>
  </si>
  <si>
    <t xml:space="preserve">      Other Investing  (FA sold, investments, interest received)</t>
  </si>
  <si>
    <t>CASH FROM INVESTING  (CFI)</t>
  </si>
  <si>
    <t>C.  CASH FLOW FROM FINANCING  (CFF)</t>
  </si>
  <si>
    <t xml:space="preserve">      Dividends Paid  (actual cash paid)</t>
  </si>
  <si>
    <t xml:space="preserve">      Finance Costs Paid</t>
  </si>
  <si>
    <t xml:space="preserve">      Net Change in Borrowings</t>
  </si>
  <si>
    <t xml:space="preserve">      Other Financing  (lease payments, etc.)</t>
  </si>
  <si>
    <t>CASH FROM FINANCING  (CFF)</t>
  </si>
  <si>
    <t>D.  NET CASH FLOW &amp; CLOSING BALANCE</t>
  </si>
  <si>
    <t>Net Cash Flow  (A + B + C)</t>
  </si>
  <si>
    <t xml:space="preserve">  Opening Cash Balance</t>
  </si>
  <si>
    <t>CLOSING CASH  →  Feeds Balance Sheet</t>
  </si>
  <si>
    <t>Free Cash Flow  (CFO − Capex)</t>
  </si>
  <si>
    <t>NESTLÉ INDIA LIMITED  |  FINANCIAL DASHBOARD  |  10Y HISTORY + 3Y FORECAST</t>
  </si>
  <si>
    <t>KEY FINANCIAL METRICS  (INR Crores)</t>
  </si>
  <si>
    <t>METRIC</t>
  </si>
  <si>
    <t>UNIT</t>
  </si>
  <si>
    <t xml:space="preserve">  Revenue (₹ Cr)</t>
  </si>
  <si>
    <t>₹ Cr</t>
  </si>
  <si>
    <t xml:space="preserve">  EBITDA (₹ Cr)</t>
  </si>
  <si>
    <t xml:space="preserve">  EBITDA Margin</t>
  </si>
  <si>
    <t>%</t>
  </si>
  <si>
    <t xml:space="preserve">  Depreciation (₹ Cr)</t>
  </si>
  <si>
    <t xml:space="preserve">  PAT (₹ Cr)</t>
  </si>
  <si>
    <t xml:space="preserve">  PAT Margin</t>
  </si>
  <si>
    <t xml:space="preserve">  EPS (₹)</t>
  </si>
  <si>
    <t>₹</t>
  </si>
  <si>
    <t xml:space="preserve">  CFO (₹ Cr)</t>
  </si>
  <si>
    <t xml:space="preserve">  Capex (₹ Cr)</t>
  </si>
  <si>
    <t xml:space="preserve">  FCF (₹ Cr)</t>
  </si>
  <si>
    <t xml:space="preserve">  Closing Cash (₹ Cr)</t>
  </si>
  <si>
    <t xml:space="preserve">  Total Assets (₹ Cr)</t>
  </si>
  <si>
    <t xml:space="preserve">  Total Equity (₹ Cr)</t>
  </si>
  <si>
    <t xml:space="preserve">  Reserves (₹ Cr)</t>
  </si>
  <si>
    <t xml:space="preserve">  ROE</t>
  </si>
  <si>
    <t xml:space="preserve">  ROCE</t>
  </si>
  <si>
    <t xml:space="preserve">  Inventory Days</t>
  </si>
  <si>
    <t>Days</t>
  </si>
  <si>
    <t xml:space="preserve">  Receivable Days</t>
  </si>
  <si>
    <t xml:space="preserve">  Balance Check (→0)</t>
  </si>
  <si>
    <t>SENSITIVITY:  FY2025-26E PAT  (Revenue Growth % vs EBITDA Margin %)</t>
  </si>
  <si>
    <t>Investments % of Revenue</t>
  </si>
  <si>
    <t>Loans &amp; Advances NCA % of Revenue</t>
  </si>
  <si>
    <t>Other NCA % of Revenue</t>
  </si>
  <si>
    <t>Other Investing Activities (₹ Cr)</t>
  </si>
  <si>
    <t>Growth %</t>
  </si>
  <si>
    <t>FY2024 
(12M Adjusted)</t>
  </si>
  <si>
    <t>FY2024 (12M Adj)</t>
  </si>
  <si>
    <t xml:space="preserve"> </t>
  </si>
  <si>
    <t>Model Version</t>
  </si>
  <si>
    <t>Version</t>
  </si>
  <si>
    <t>Date</t>
  </si>
  <si>
    <t>Currency</t>
  </si>
  <si>
    <t>INR Crores</t>
  </si>
  <si>
    <t>Prepared By</t>
  </si>
  <si>
    <t>Anvay Gulave</t>
  </si>
  <si>
    <t>INDEX</t>
  </si>
  <si>
    <t>1.  Cover Page</t>
  </si>
  <si>
    <t>2. Assumptions</t>
  </si>
  <si>
    <t>3. Income Statement</t>
  </si>
  <si>
    <t>4. Shedules</t>
  </si>
  <si>
    <t>5.Cash Flow Statement</t>
  </si>
  <si>
    <t>6. Balance Sheet</t>
  </si>
  <si>
    <t>7. Dashboard</t>
  </si>
  <si>
    <t>Historical Period</t>
  </si>
  <si>
    <t>FY2024</t>
  </si>
  <si>
    <t>Forecast Period</t>
  </si>
  <si>
    <t>FY2016-FY2025</t>
  </si>
  <si>
    <t>Jan 23 - Mar 24 (15 Mon)</t>
  </si>
  <si>
    <t>Normalized to 12 Mon</t>
  </si>
  <si>
    <t>FY2024 (12 Mon Adj)</t>
  </si>
  <si>
    <t>FY206 - FY2028</t>
  </si>
  <si>
    <t xml:space="preserve">             3 Financial Statement (Standalone) in INR Crores</t>
  </si>
  <si>
    <t xml:space="preserve">            Model Period: FY2016-FY2028E</t>
  </si>
  <si>
    <t>KEY HIGHLIGHTS</t>
  </si>
  <si>
    <t>YEAR DETAIL</t>
  </si>
  <si>
    <t>IMPORTANT NOTES</t>
  </si>
  <si>
    <t>• FY2024 (12M Adjusted) is used for trend analysis and charts.</t>
  </si>
  <si>
    <t>• Forecasts are based on management outlook and industry trends.</t>
  </si>
  <si>
    <t>• All assumptions can be updated in the Assumptions sheet.</t>
  </si>
  <si>
    <t>• FY2024 (15M) is not comparable with other years.</t>
  </si>
  <si>
    <t>Raw Material &amp; Packing Costs</t>
  </si>
  <si>
    <t>Manufacturing, Power &amp; Distribution Costs</t>
  </si>
  <si>
    <t>Employee Costs</t>
  </si>
  <si>
    <t>Selling, Administrative &amp; Other Operating Costs</t>
  </si>
  <si>
    <t>NESTLÉ INDIA LIMITED  |  ASSUMPTIONS &amp; DRIVERS</t>
  </si>
  <si>
    <t>MAGGI holds a stable ~60% market share in noodles. Coffee is now the #1 category, and KitKat ranks #2 globally in confectionery.
Strong distribution through the RUrban strategy, covering 200K+ villages and 5.3 million outlets.</t>
  </si>
  <si>
    <t xml:space="preserve">Coffee prices have gone up a lot (around 75%), and cocoa prices are also higher (about 40–50%).
To manage this, the company is saving costs through many small efficiency improvements (Project Shark), which help save about 2% of sales.  They try to increase prices only when it’s really necessary. </t>
  </si>
  <si>
    <t xml:space="preserve">About ₹5,800 Cr has been invested between 2020–25.  The 10th factory in Odisha is starting, and the Sanand confectionery factory is already operational. Overall capacity has increased by more than 35% in key products like MAGGI, coffee, and chocolate.  </t>
  </si>
  <si>
    <t>Urban demand is currently slow, while rural demand is improving. The government budget includes a ₹1 lakh crore push to boost consumption. Around 60 million middle-class households are expected to be added by 2030. A new MD, Manish Tiwari, took charge in Feb 2025.</t>
  </si>
  <si>
    <t>Key risks include rising raw material costs (coffee, cocoa, wheat), slower urban demand, and increasing competition from regional brands in noodles. There is also some uncertainty due to leadership change and potential conflicts with quick commerce channels.</t>
  </si>
  <si>
    <t>Supporting Inputs</t>
  </si>
  <si>
    <t>EBTDA MARGIN</t>
  </si>
  <si>
    <t>Reve Grow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</si>
</sst>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0.0%;\(0.0%\);\-"/>
    <numFmt numFmtId="165" formatCode="0.0"/>
    <numFmt numFmtId="166" formatCode="#,##0;\(#,##0\);\-"/>
    <numFmt numFmtId="167" formatCode="0.0%"/>
    <numFmt numFmtId="168" formatCode="&quot;FY&quot;yyyy"/>
    <numFmt numFmtId="169" formatCode="&quot;FY&quot;yyyy\ &quot;(15m)&quot;"/>
    <numFmt numFmtId="170" formatCode="yyyy&quot;E&quot;"/>
    <numFmt numFmtId="171" formatCode="\₹\ #,##0;\(#,##0\);\-"/>
    <numFmt numFmtId="172" formatCode="0.00%;\(0.00%\);\-"/>
    <numFmt numFmtId="173" formatCode="dd\ mmm\ yyyy"/>
  </numFmts>
  <fonts count="44" x14ac:knownFonts="1">
    <font>
      <sz val="11"/>
      <color theme="1"/>
      <name val="Calibri"/>
      <family val="2"/>
      <charset val="1"/>
    </font>
    <font>
      <sz val="11"/>
      <color theme="1"/>
      <name val="Calibri"/>
      <family val="2"/>
    </font>
    <font>
      <sz val="11"/>
      <color theme="1"/>
      <name val="Calibri"/>
      <family val="2"/>
    </font>
    <font>
      <b/>
      <sz val="10"/>
      <color rgb="FFFFFFFF"/>
      <name val="Calibri"/>
      <family val="2"/>
    </font>
    <font>
      <b/>
      <sz val="10"/>
      <color rgb="FF0000FF"/>
      <name val="Calibri"/>
      <family val="2"/>
    </font>
    <font>
      <sz val="10"/>
      <color rgb="FF000000"/>
      <name val="Calibri"/>
      <family val="2"/>
    </font>
    <font>
      <sz val="10"/>
      <color theme="1"/>
      <name val="Calibri"/>
      <family val="2"/>
    </font>
    <font>
      <i/>
      <sz val="10"/>
      <color rgb="FF595959"/>
      <name val="Calibri"/>
      <family val="2"/>
    </font>
    <font>
      <b/>
      <sz val="10"/>
      <color rgb="FF2F5496"/>
      <name val="Calibri"/>
      <family val="2"/>
    </font>
    <font>
      <b/>
      <sz val="10"/>
      <color rgb="FF1F3864"/>
      <name val="Calibri"/>
      <family val="2"/>
    </font>
    <font>
      <sz val="10"/>
      <color rgb="FF0000FF"/>
      <name val="Calibri"/>
      <family val="2"/>
    </font>
    <font>
      <b/>
      <sz val="10"/>
      <color rgb="FF000000"/>
      <name val="Calibri"/>
      <family val="2"/>
    </font>
    <font>
      <b/>
      <sz val="10"/>
      <color rgb="FFC00000"/>
      <name val="Calibri"/>
      <family val="2"/>
    </font>
    <font>
      <b/>
      <sz val="11"/>
      <color rgb="FFFFFFFF"/>
      <name val="Calibri"/>
      <family val="2"/>
    </font>
    <font>
      <sz val="11"/>
      <color rgb="FF000000"/>
      <name val="Calibri"/>
      <family val="2"/>
    </font>
    <font>
      <sz val="11"/>
      <color rgb="FF0000FF"/>
      <name val="Calibri"/>
      <family val="2"/>
    </font>
    <font>
      <b/>
      <sz val="11"/>
      <color rgb="FFC00000"/>
      <name val="Calibri"/>
      <family val="2"/>
    </font>
    <font>
      <i/>
      <sz val="11"/>
      <color rgb="FF000000"/>
      <name val="Calibri"/>
      <family val="2"/>
    </font>
    <font>
      <b/>
      <sz val="10"/>
      <color theme="1"/>
      <name val="Calibri"/>
      <family val="2"/>
    </font>
    <font>
      <i/>
      <sz val="10"/>
      <color rgb="FF000000"/>
      <name val="Calibri"/>
      <family val="2"/>
    </font>
    <font>
      <sz val="9"/>
      <color indexed="81"/>
      <name val="Tahoma"/>
      <family val="2"/>
    </font>
    <font>
      <b/>
      <sz val="9"/>
      <color indexed="81"/>
      <name val="Tahoma"/>
      <family val="2"/>
    </font>
    <font>
      <b/>
      <sz val="11"/>
      <color theme="0"/>
      <name val="Calibri"/>
      <family val="2"/>
    </font>
    <font>
      <b/>
      <sz val="11"/>
      <color theme="1"/>
      <name val="Calibri"/>
      <family val="2"/>
    </font>
    <font>
      <sz val="11"/>
      <color theme="0"/>
      <name val="Calibri"/>
      <family val="2"/>
      <charset val="1"/>
    </font>
    <font>
      <i/>
      <sz val="10"/>
      <color theme="1"/>
      <name val="Calibri"/>
      <family val="2"/>
    </font>
    <font>
      <i/>
      <sz val="10"/>
      <color theme="0" tint="-0.499984740745262"/>
      <name val="Calibri"/>
      <family val="2"/>
    </font>
    <font>
      <i/>
      <sz val="10"/>
      <color rgb="FF00B050"/>
      <name val="Calibri"/>
      <family val="2"/>
    </font>
    <font>
      <b/>
      <sz val="10"/>
      <color theme="0"/>
      <name val="Calibri"/>
      <family val="2"/>
    </font>
    <font>
      <sz val="11"/>
      <color theme="1" tint="0.499984740745262"/>
      <name val="Calibri"/>
      <family val="2"/>
    </font>
    <font>
      <sz val="11"/>
      <color theme="4" tint="-0.499984740745262"/>
      <name val="Calibri"/>
      <family val="2"/>
    </font>
    <font>
      <b/>
      <sz val="18"/>
      <color theme="0"/>
      <name val="Calibri"/>
      <family val="2"/>
    </font>
    <font>
      <sz val="11"/>
      <color rgb="FF0070C0"/>
      <name val="Calibri"/>
      <family val="2"/>
      <charset val="1"/>
    </font>
    <font>
      <b/>
      <sz val="14"/>
      <color theme="3" tint="-0.499984740745262"/>
      <name val="Calibri"/>
      <family val="2"/>
    </font>
    <font>
      <b/>
      <sz val="14"/>
      <color theme="0" tint="-0.499984740745262"/>
      <name val="Calibri"/>
      <family val="2"/>
    </font>
    <font>
      <b/>
      <sz val="11"/>
      <color theme="0" tint="-0.499984740745262"/>
      <name val="Calibri"/>
      <family val="2"/>
    </font>
    <font>
      <sz val="14"/>
      <color theme="1"/>
      <name val="Calibri"/>
      <family val="2"/>
      <charset val="1"/>
    </font>
    <font>
      <u/>
      <sz val="11"/>
      <color theme="10"/>
      <name val="Calibri"/>
      <family val="2"/>
      <charset val="1"/>
    </font>
    <font>
      <b/>
      <u/>
      <sz val="16"/>
      <color theme="10"/>
      <name val="Calibri"/>
      <family val="2"/>
    </font>
    <font>
      <b/>
      <sz val="16"/>
      <color rgb="FFFFFFFF"/>
      <name val="Calibri"/>
      <family val="2"/>
    </font>
    <font>
      <sz val="11"/>
      <color theme="4" tint="-0.249977111117893"/>
      <name val="Calibri"/>
      <family val="2"/>
    </font>
    <font>
      <i/>
      <u/>
      <sz val="10"/>
      <color theme="0" tint="-0.34998626667073579"/>
      <name val="Calibri"/>
      <family val="2"/>
    </font>
    <font>
      <sz val="10"/>
      <color theme="0" tint="-0.34998626667073579"/>
      <name val="Calibri"/>
      <family val="2"/>
    </font>
    <font>
      <i/>
      <sz val="10"/>
      <color theme="0" tint="-0.34998626667073579"/>
      <name val="Calibri"/>
      <family val="2"/>
    </font>
  </fonts>
  <fills count="23">
    <fill>
      <patternFill patternType="none"/>
    </fill>
    <fill>
      <patternFill patternType="gray125"/>
    </fill>
    <fill>
      <patternFill patternType="solid">
        <fgColor rgb="FF1F3864"/>
        <bgColor rgb="FF404040"/>
      </patternFill>
    </fill>
    <fill>
      <patternFill patternType="solid">
        <fgColor rgb="FF2F5496"/>
        <bgColor rgb="FF4470A6"/>
      </patternFill>
    </fill>
    <fill>
      <patternFill patternType="solid">
        <fgColor rgb="FFD6E4F0"/>
        <bgColor rgb="FFD9DED5"/>
      </patternFill>
    </fill>
    <fill>
      <patternFill patternType="solid">
        <fgColor rgb="FFF2F2F2"/>
        <bgColor rgb="FFEBF3FB"/>
      </patternFill>
    </fill>
    <fill>
      <patternFill patternType="solid">
        <fgColor rgb="FFEBF3FB"/>
        <bgColor rgb="FFF2F2F2"/>
      </patternFill>
    </fill>
    <fill>
      <patternFill patternType="solid">
        <fgColor rgb="FFEBF7EE"/>
        <bgColor rgb="FFEBF3FB"/>
      </patternFill>
    </fill>
    <fill>
      <patternFill patternType="solid">
        <fgColor rgb="FFFFF2CC"/>
        <bgColor rgb="FFFFF8DC"/>
      </patternFill>
    </fill>
    <fill>
      <patternFill patternType="solid">
        <fgColor rgb="FFE2EFDA"/>
        <bgColor rgb="FFE8E8E8"/>
      </patternFill>
    </fill>
    <fill>
      <patternFill patternType="solid">
        <fgColor rgb="FFE8E8E8"/>
        <bgColor rgb="FFE2EFDA"/>
      </patternFill>
    </fill>
    <fill>
      <patternFill patternType="solid">
        <fgColor rgb="FFFCE4D6"/>
        <bgColor rgb="FFFFF2CC"/>
      </patternFill>
    </fill>
    <fill>
      <patternFill patternType="solid">
        <fgColor theme="0"/>
        <bgColor rgb="FFD9DED5"/>
      </patternFill>
    </fill>
    <fill>
      <patternFill patternType="solid">
        <fgColor theme="0"/>
        <bgColor rgb="FFF2F2F2"/>
      </patternFill>
    </fill>
    <fill>
      <patternFill patternType="solid">
        <fgColor theme="0"/>
        <bgColor rgb="FFE8E8E8"/>
      </patternFill>
    </fill>
    <fill>
      <patternFill patternType="solid">
        <fgColor theme="0"/>
        <bgColor indexed="64"/>
      </patternFill>
    </fill>
    <fill>
      <patternFill patternType="solid">
        <fgColor theme="0"/>
        <bgColor rgb="FFEBF3FB"/>
      </patternFill>
    </fill>
    <fill>
      <patternFill patternType="solid">
        <fgColor rgb="FFE8E8E8"/>
        <bgColor rgb="FFE8E8E8"/>
      </patternFill>
    </fill>
    <fill>
      <patternFill patternType="solid">
        <fgColor theme="8" tint="-0.249977111117893"/>
        <bgColor rgb="FFF2F2F2"/>
      </patternFill>
    </fill>
    <fill>
      <patternFill patternType="solid">
        <fgColor theme="1" tint="0.499984740745262"/>
        <bgColor indexed="64"/>
      </patternFill>
    </fill>
    <fill>
      <patternFill patternType="solid">
        <fgColor theme="0" tint="-4.9989318521683403E-2"/>
        <bgColor indexed="64"/>
      </patternFill>
    </fill>
    <fill>
      <patternFill patternType="solid">
        <fgColor theme="3" tint="-0.499984740745262"/>
        <bgColor indexed="64"/>
      </patternFill>
    </fill>
    <fill>
      <patternFill patternType="solid">
        <fgColor rgb="FFF2F2F2"/>
        <bgColor indexed="64"/>
      </patternFill>
    </fill>
  </fills>
  <borders count="27">
    <border>
      <left/>
      <right/>
      <top/>
      <bottom/>
      <diagonal/>
    </border>
    <border>
      <left/>
      <right/>
      <top/>
      <bottom style="medium">
        <color auto="1"/>
      </bottom>
      <diagonal/>
    </border>
    <border>
      <left/>
      <right/>
      <top style="thin">
        <color auto="1"/>
      </top>
      <bottom/>
      <diagonal/>
    </border>
    <border>
      <left/>
      <right/>
      <top style="double">
        <color auto="1"/>
      </top>
      <bottom style="double">
        <color auto="1"/>
      </bottom>
      <diagonal/>
    </border>
    <border>
      <left/>
      <right/>
      <top style="double">
        <color auto="1"/>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ck">
        <color rgb="FF002060"/>
      </bottom>
      <diagonal/>
    </border>
    <border>
      <left/>
      <right style="medium">
        <color theme="0" tint="-0.499984740745262"/>
      </right>
      <top/>
      <bottom/>
      <diagonal/>
    </border>
    <border>
      <left style="thin">
        <color theme="0" tint="-0.499984740745262"/>
      </left>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right/>
      <top style="thin">
        <color theme="0" tint="-0.499984740745262"/>
      </top>
      <bottom/>
      <diagonal/>
    </border>
    <border>
      <left/>
      <right style="thin">
        <color theme="0" tint="-0.499984740745262"/>
      </right>
      <top style="thin">
        <color theme="0" tint="-0.499984740745262"/>
      </top>
      <bottom/>
      <diagonal/>
    </border>
    <border>
      <left/>
      <right/>
      <top/>
      <bottom style="medium">
        <color theme="0" tint="-0.34998626667073579"/>
      </bottom>
      <diagonal/>
    </border>
  </borders>
  <cellStyleXfs count="2">
    <xf numFmtId="0" fontId="0" fillId="0" borderId="0"/>
    <xf numFmtId="0" fontId="37" fillId="0" borderId="0" applyNumberFormat="0" applyFill="0" applyBorder="0" applyAlignment="0" applyProtection="0"/>
  </cellStyleXfs>
  <cellXfs count="189">
    <xf numFmtId="0" fontId="0" fillId="0" borderId="0" xfId="0"/>
    <xf numFmtId="0" fontId="36" fillId="0" borderId="0" xfId="0" applyFont="1" applyProtection="1">
      <protection locked="0"/>
    </xf>
    <xf numFmtId="0" fontId="0" fillId="0" borderId="0" xfId="0" applyProtection="1">
      <protection locked="0"/>
    </xf>
    <xf numFmtId="0" fontId="0" fillId="0" borderId="7" xfId="0" applyBorder="1" applyProtection="1">
      <protection locked="0"/>
    </xf>
    <xf numFmtId="0" fontId="0" fillId="0" borderId="6" xfId="0" applyBorder="1" applyProtection="1">
      <protection locked="0"/>
    </xf>
    <xf numFmtId="0" fontId="35" fillId="0" borderId="0" xfId="0" applyFont="1" applyProtection="1">
      <protection locked="0"/>
    </xf>
    <xf numFmtId="0" fontId="32" fillId="0" borderId="0" xfId="0" applyFont="1"/>
    <xf numFmtId="0" fontId="0" fillId="20" borderId="8" xfId="0" applyFill="1" applyBorder="1" applyAlignment="1">
      <alignment horizontal="left" indent="2"/>
    </xf>
    <xf numFmtId="0" fontId="0" fillId="20" borderId="9" xfId="0" applyFill="1" applyBorder="1" applyAlignment="1">
      <alignment horizontal="left" indent="2"/>
    </xf>
    <xf numFmtId="0" fontId="0" fillId="20" borderId="11" xfId="0" applyFill="1" applyBorder="1" applyAlignment="1">
      <alignment horizontal="left" indent="2"/>
    </xf>
    <xf numFmtId="0" fontId="0" fillId="0" borderId="7" xfId="0" applyBorder="1"/>
    <xf numFmtId="0" fontId="29" fillId="0" borderId="0" xfId="0" applyFont="1" applyAlignment="1">
      <alignment horizontal="left" indent="2"/>
    </xf>
    <xf numFmtId="0" fontId="30" fillId="0" borderId="0" xfId="0" applyFont="1" applyAlignment="1">
      <alignment horizontal="left" indent="2"/>
    </xf>
    <xf numFmtId="0" fontId="36" fillId="22" borderId="8" xfId="0" applyFont="1" applyFill="1" applyBorder="1"/>
    <xf numFmtId="0" fontId="0" fillId="22" borderId="24" xfId="0" applyFill="1" applyBorder="1"/>
    <xf numFmtId="0" fontId="0" fillId="22" borderId="25" xfId="0" applyFill="1" applyBorder="1"/>
    <xf numFmtId="0" fontId="36" fillId="22" borderId="9" xfId="0" applyFont="1" applyFill="1" applyBorder="1"/>
    <xf numFmtId="0" fontId="0" fillId="22" borderId="0" xfId="0" applyFill="1"/>
    <xf numFmtId="0" fontId="0" fillId="22" borderId="10" xfId="0" applyFill="1" applyBorder="1"/>
    <xf numFmtId="0" fontId="36" fillId="22" borderId="11" xfId="0" applyFont="1" applyFill="1" applyBorder="1"/>
    <xf numFmtId="0" fontId="0" fillId="22" borderId="12" xfId="0" applyFill="1" applyBorder="1"/>
    <xf numFmtId="0" fontId="0" fillId="22" borderId="13" xfId="0" applyFill="1" applyBorder="1"/>
    <xf numFmtId="0" fontId="2" fillId="0" borderId="0" xfId="0" applyFont="1" applyProtection="1">
      <protection locked="0"/>
    </xf>
    <xf numFmtId="0" fontId="1" fillId="0" borderId="0" xfId="0" applyFont="1" applyProtection="1">
      <protection locked="0"/>
    </xf>
    <xf numFmtId="0" fontId="13" fillId="2" borderId="0" xfId="0" applyFont="1" applyFill="1" applyAlignment="1" applyProtection="1">
      <alignment horizontal="left" vertical="center"/>
      <protection locked="0"/>
    </xf>
    <xf numFmtId="0" fontId="13" fillId="2" borderId="0" xfId="0" applyFont="1" applyFill="1" applyAlignment="1" applyProtection="1">
      <alignment horizontal="center" vertical="center"/>
      <protection locked="0"/>
    </xf>
    <xf numFmtId="0" fontId="14" fillId="0" borderId="0" xfId="0" applyFont="1" applyAlignment="1" applyProtection="1">
      <alignment horizontal="left" vertical="center"/>
      <protection locked="0"/>
    </xf>
    <xf numFmtId="164" fontId="15" fillId="4" borderId="0" xfId="0" applyNumberFormat="1" applyFont="1" applyFill="1" applyAlignment="1" applyProtection="1">
      <alignment horizontal="center" vertical="center"/>
      <protection locked="0"/>
    </xf>
    <xf numFmtId="164" fontId="15" fillId="0" borderId="0" xfId="0" applyNumberFormat="1" applyFont="1" applyAlignment="1" applyProtection="1">
      <alignment horizontal="center" vertical="center"/>
      <protection locked="0"/>
    </xf>
    <xf numFmtId="0" fontId="14" fillId="0" borderId="0" xfId="0" applyFont="1" applyAlignment="1" applyProtection="1">
      <alignment horizontal="left" vertical="center" indent="1"/>
      <protection locked="0"/>
    </xf>
    <xf numFmtId="10" fontId="40" fillId="0" borderId="0" xfId="0" applyNumberFormat="1" applyFont="1" applyAlignment="1" applyProtection="1">
      <alignment horizontal="center" vertical="center"/>
      <protection locked="0"/>
    </xf>
    <xf numFmtId="0" fontId="0" fillId="0" borderId="0" xfId="0" applyAlignment="1" applyProtection="1">
      <alignment horizontal="left" vertical="center" indent="1"/>
      <protection locked="0"/>
    </xf>
    <xf numFmtId="164" fontId="40" fillId="4" borderId="0" xfId="0" applyNumberFormat="1" applyFont="1" applyFill="1" applyAlignment="1" applyProtection="1">
      <alignment horizontal="center" vertical="center"/>
      <protection locked="0"/>
    </xf>
    <xf numFmtId="0" fontId="40" fillId="0" borderId="0" xfId="0" applyFont="1" applyProtection="1">
      <protection locked="0"/>
    </xf>
    <xf numFmtId="164" fontId="40" fillId="12" borderId="0" xfId="0" applyNumberFormat="1" applyFont="1" applyFill="1" applyAlignment="1" applyProtection="1">
      <alignment horizontal="center" vertical="center"/>
      <protection locked="0"/>
    </xf>
    <xf numFmtId="164" fontId="15" fillId="12" borderId="0" xfId="0" applyNumberFormat="1" applyFont="1" applyFill="1" applyAlignment="1" applyProtection="1">
      <alignment horizontal="center" vertical="center"/>
      <protection locked="0"/>
    </xf>
    <xf numFmtId="164" fontId="40" fillId="0" borderId="0" xfId="0" applyNumberFormat="1" applyFont="1" applyAlignment="1" applyProtection="1">
      <alignment horizontal="center" vertical="center"/>
      <protection locked="0"/>
    </xf>
    <xf numFmtId="165" fontId="15" fillId="4" borderId="0" xfId="0" applyNumberFormat="1" applyFont="1" applyFill="1" applyAlignment="1" applyProtection="1">
      <alignment horizontal="center" vertical="center"/>
      <protection locked="0"/>
    </xf>
    <xf numFmtId="165" fontId="15" fillId="0" borderId="0" xfId="0" applyNumberFormat="1" applyFont="1" applyAlignment="1" applyProtection="1">
      <alignment horizontal="center" vertical="center"/>
      <protection locked="0"/>
    </xf>
    <xf numFmtId="172" fontId="15" fillId="0" borderId="0" xfId="0" applyNumberFormat="1" applyFont="1" applyAlignment="1" applyProtection="1">
      <alignment horizontal="center" vertical="center"/>
      <protection locked="0"/>
    </xf>
    <xf numFmtId="10" fontId="15" fillId="4" borderId="0" xfId="0" applyNumberFormat="1" applyFont="1" applyFill="1" applyAlignment="1" applyProtection="1">
      <alignment horizontal="center" vertical="center"/>
      <protection locked="0"/>
    </xf>
    <xf numFmtId="0" fontId="16" fillId="0" borderId="0" xfId="0" applyFont="1" applyAlignment="1" applyProtection="1">
      <alignment horizontal="left" vertical="center"/>
      <protection locked="0"/>
    </xf>
    <xf numFmtId="0" fontId="16" fillId="5" borderId="0" xfId="0" applyFont="1" applyFill="1" applyAlignment="1" applyProtection="1">
      <alignment horizontal="left" vertical="center"/>
      <protection locked="0"/>
    </xf>
    <xf numFmtId="164" fontId="14" fillId="4" borderId="0" xfId="0" applyNumberFormat="1" applyFont="1" applyFill="1" applyAlignment="1">
      <alignment horizontal="center" vertical="center"/>
    </xf>
    <xf numFmtId="0" fontId="6" fillId="0" borderId="0" xfId="0" applyFont="1" applyProtection="1">
      <protection locked="0"/>
    </xf>
    <xf numFmtId="0" fontId="7" fillId="0" borderId="0" xfId="0" applyFont="1" applyAlignment="1" applyProtection="1">
      <alignment horizontal="center" vertical="center"/>
      <protection locked="0"/>
    </xf>
    <xf numFmtId="0" fontId="7" fillId="0" borderId="0" xfId="0" applyFont="1" applyProtection="1">
      <protection locked="0"/>
    </xf>
    <xf numFmtId="168" fontId="9" fillId="6" borderId="1" xfId="0" applyNumberFormat="1" applyFont="1" applyFill="1" applyBorder="1" applyAlignment="1" applyProtection="1">
      <alignment horizontal="center" vertical="center"/>
      <protection locked="0"/>
    </xf>
    <xf numFmtId="0" fontId="9" fillId="6" borderId="1" xfId="0" applyFont="1" applyFill="1" applyBorder="1" applyAlignment="1" applyProtection="1">
      <alignment horizontal="right" vertical="center" wrapText="1"/>
      <protection locked="0"/>
    </xf>
    <xf numFmtId="9" fontId="6" fillId="0" borderId="0" xfId="0" applyNumberFormat="1" applyFont="1" applyProtection="1">
      <protection locked="0"/>
    </xf>
    <xf numFmtId="0" fontId="3" fillId="3" borderId="0" xfId="0" applyFont="1" applyFill="1" applyAlignment="1" applyProtection="1">
      <alignment horizontal="left" vertical="center"/>
      <protection locked="0"/>
    </xf>
    <xf numFmtId="0" fontId="6" fillId="3" borderId="0" xfId="0" applyFont="1" applyFill="1" applyProtection="1">
      <protection locked="0"/>
    </xf>
    <xf numFmtId="0" fontId="11" fillId="0" borderId="0" xfId="0" applyFont="1" applyAlignment="1" applyProtection="1">
      <alignment horizontal="left" vertical="center"/>
      <protection locked="0"/>
    </xf>
    <xf numFmtId="171" fontId="10" fillId="13" borderId="0" xfId="0" applyNumberFormat="1" applyFont="1" applyFill="1" applyAlignment="1" applyProtection="1">
      <alignment horizontal="right" vertical="center"/>
      <protection locked="0"/>
    </xf>
    <xf numFmtId="0" fontId="7" fillId="0" borderId="0" xfId="0" applyFont="1" applyAlignment="1" applyProtection="1">
      <alignment horizontal="left" vertical="center"/>
      <protection locked="0"/>
    </xf>
    <xf numFmtId="0" fontId="6" fillId="15" borderId="0" xfId="0" applyFont="1" applyFill="1" applyProtection="1">
      <protection locked="0"/>
    </xf>
    <xf numFmtId="0" fontId="5" fillId="0" borderId="0" xfId="0" applyFont="1" applyAlignment="1" applyProtection="1">
      <alignment horizontal="left" vertical="center"/>
      <protection locked="0"/>
    </xf>
    <xf numFmtId="166" fontId="10" fillId="13" borderId="0" xfId="0" applyNumberFormat="1" applyFont="1" applyFill="1" applyAlignment="1" applyProtection="1">
      <alignment horizontal="right" vertical="center"/>
      <protection locked="0"/>
    </xf>
    <xf numFmtId="0" fontId="11" fillId="9" borderId="0" xfId="0" applyFont="1" applyFill="1" applyAlignment="1" applyProtection="1">
      <alignment horizontal="left" vertical="center"/>
      <protection locked="0"/>
    </xf>
    <xf numFmtId="166" fontId="4" fillId="14" borderId="0" xfId="0" applyNumberFormat="1" applyFont="1" applyFill="1" applyAlignment="1" applyProtection="1">
      <alignment horizontal="right" vertical="center"/>
      <protection locked="0"/>
    </xf>
    <xf numFmtId="171" fontId="4" fillId="14" borderId="0" xfId="0" applyNumberFormat="1" applyFont="1" applyFill="1" applyAlignment="1" applyProtection="1">
      <alignment horizontal="right" vertical="center"/>
      <protection locked="0"/>
    </xf>
    <xf numFmtId="166" fontId="4" fillId="14" borderId="3" xfId="0" applyNumberFormat="1" applyFont="1" applyFill="1" applyBorder="1" applyAlignment="1" applyProtection="1">
      <alignment horizontal="right" vertical="center"/>
      <protection locked="0"/>
    </xf>
    <xf numFmtId="171" fontId="4" fillId="14" borderId="3" xfId="0" applyNumberFormat="1" applyFont="1" applyFill="1" applyBorder="1" applyAlignment="1" applyProtection="1">
      <alignment horizontal="right" vertical="center"/>
      <protection locked="0"/>
    </xf>
    <xf numFmtId="171" fontId="4" fillId="17" borderId="3" xfId="0" applyNumberFormat="1" applyFont="1" applyFill="1" applyBorder="1" applyAlignment="1" applyProtection="1">
      <alignment horizontal="right" vertical="center"/>
      <protection locked="0"/>
    </xf>
    <xf numFmtId="2" fontId="10" fillId="13" borderId="0" xfId="0" applyNumberFormat="1" applyFont="1" applyFill="1" applyAlignment="1" applyProtection="1">
      <alignment horizontal="right" vertical="center"/>
      <protection locked="0"/>
    </xf>
    <xf numFmtId="171" fontId="10" fillId="6" borderId="0" xfId="0" applyNumberFormat="1" applyFont="1" applyFill="1" applyAlignment="1" applyProtection="1">
      <alignment horizontal="right" vertical="center"/>
      <protection locked="0"/>
    </xf>
    <xf numFmtId="4" fontId="10" fillId="13" borderId="0" xfId="0" applyNumberFormat="1" applyFont="1" applyFill="1" applyAlignment="1" applyProtection="1">
      <alignment horizontal="right" vertical="center"/>
      <protection locked="0"/>
    </xf>
    <xf numFmtId="0" fontId="3" fillId="2" borderId="0" xfId="0" applyFont="1" applyFill="1" applyAlignment="1" applyProtection="1">
      <alignment horizontal="center" vertical="center"/>
      <protection locked="0"/>
    </xf>
    <xf numFmtId="168" fontId="9" fillId="6" borderId="1" xfId="0" applyNumberFormat="1" applyFont="1" applyFill="1" applyBorder="1" applyAlignment="1">
      <alignment horizontal="center" vertical="center"/>
    </xf>
    <xf numFmtId="169" fontId="9" fillId="6" borderId="1" xfId="0" applyNumberFormat="1" applyFont="1" applyFill="1" applyBorder="1" applyAlignment="1">
      <alignment horizontal="center" vertical="center"/>
    </xf>
    <xf numFmtId="170" fontId="3" fillId="3" borderId="1" xfId="0" applyNumberFormat="1" applyFont="1" applyFill="1" applyBorder="1" applyAlignment="1">
      <alignment horizontal="center" vertical="center"/>
    </xf>
    <xf numFmtId="171" fontId="6" fillId="13" borderId="0" xfId="0" applyNumberFormat="1" applyFont="1" applyFill="1" applyAlignment="1">
      <alignment horizontal="right" vertical="center"/>
    </xf>
    <xf numFmtId="171" fontId="18" fillId="7" borderId="0" xfId="0" applyNumberFormat="1" applyFont="1" applyFill="1" applyAlignment="1">
      <alignment horizontal="right" vertical="center"/>
    </xf>
    <xf numFmtId="164" fontId="26" fillId="13" borderId="0" xfId="0" applyNumberFormat="1" applyFont="1" applyFill="1" applyAlignment="1">
      <alignment horizontal="right" vertical="center"/>
    </xf>
    <xf numFmtId="164" fontId="27" fillId="8" borderId="0" xfId="0" applyNumberFormat="1" applyFont="1" applyFill="1" applyAlignment="1">
      <alignment horizontal="right" vertical="center"/>
    </xf>
    <xf numFmtId="171" fontId="6" fillId="7" borderId="0" xfId="0" applyNumberFormat="1" applyFont="1" applyFill="1" applyAlignment="1">
      <alignment horizontal="right" vertical="center"/>
    </xf>
    <xf numFmtId="166" fontId="18" fillId="13" borderId="2" xfId="0" applyNumberFormat="1" applyFont="1" applyFill="1" applyBorder="1" applyAlignment="1">
      <alignment horizontal="right" vertical="center"/>
    </xf>
    <xf numFmtId="171" fontId="18" fillId="13" borderId="2" xfId="0" applyNumberFormat="1" applyFont="1" applyFill="1" applyBorder="1" applyAlignment="1">
      <alignment horizontal="right" vertical="center"/>
    </xf>
    <xf numFmtId="171" fontId="18" fillId="7" borderId="2" xfId="0" applyNumberFormat="1" applyFont="1" applyFill="1" applyBorder="1" applyAlignment="1">
      <alignment horizontal="right" vertical="center"/>
    </xf>
    <xf numFmtId="171" fontId="18" fillId="9" borderId="0" xfId="0" applyNumberFormat="1" applyFont="1" applyFill="1" applyAlignment="1">
      <alignment horizontal="right" vertical="center"/>
    </xf>
    <xf numFmtId="164" fontId="25" fillId="8" borderId="0" xfId="0" applyNumberFormat="1" applyFont="1" applyFill="1" applyAlignment="1">
      <alignment horizontal="right" vertical="center"/>
    </xf>
    <xf numFmtId="164" fontId="25" fillId="13" borderId="0" xfId="0" applyNumberFormat="1" applyFont="1" applyFill="1" applyAlignment="1">
      <alignment horizontal="right" vertical="center"/>
    </xf>
    <xf numFmtId="171" fontId="18" fillId="17" borderId="3" xfId="0" applyNumberFormat="1" applyFont="1" applyFill="1" applyBorder="1" applyAlignment="1">
      <alignment horizontal="right" vertical="center"/>
    </xf>
    <xf numFmtId="171" fontId="6" fillId="7" borderId="0" xfId="0" applyNumberFormat="1" applyFont="1" applyFill="1" applyAlignment="1">
      <alignment horizontal="right"/>
    </xf>
    <xf numFmtId="166" fontId="18" fillId="7" borderId="2" xfId="0" applyNumberFormat="1" applyFont="1" applyFill="1" applyBorder="1" applyAlignment="1">
      <alignment horizontal="right" vertical="center"/>
    </xf>
    <xf numFmtId="171" fontId="6" fillId="16" borderId="0" xfId="0" applyNumberFormat="1" applyFont="1" applyFill="1" applyAlignment="1">
      <alignment horizontal="right" vertical="center"/>
    </xf>
    <xf numFmtId="171" fontId="6" fillId="6" borderId="0" xfId="0" applyNumberFormat="1" applyFont="1" applyFill="1" applyAlignment="1">
      <alignment horizontal="right" vertical="center"/>
    </xf>
    <xf numFmtId="4" fontId="6" fillId="13" borderId="0" xfId="0" applyNumberFormat="1" applyFont="1" applyFill="1" applyAlignment="1">
      <alignment horizontal="right" vertical="center"/>
    </xf>
    <xf numFmtId="168" fontId="9" fillId="6" borderId="1" xfId="0" applyNumberFormat="1" applyFont="1" applyFill="1" applyBorder="1" applyAlignment="1" applyProtection="1">
      <alignment horizontal="right" vertical="center" wrapText="1"/>
      <protection locked="0"/>
    </xf>
    <xf numFmtId="171" fontId="4" fillId="14" borderId="2" xfId="0" applyNumberFormat="1" applyFont="1" applyFill="1" applyBorder="1" applyAlignment="1" applyProtection="1">
      <alignment horizontal="right" vertical="center"/>
      <protection locked="0"/>
    </xf>
    <xf numFmtId="171" fontId="10" fillId="7" borderId="0" xfId="0" applyNumberFormat="1" applyFont="1" applyFill="1" applyAlignment="1" applyProtection="1">
      <alignment horizontal="right" vertical="center"/>
      <protection locked="0"/>
    </xf>
    <xf numFmtId="171" fontId="6" fillId="0" borderId="0" xfId="0" applyNumberFormat="1" applyFont="1" applyProtection="1">
      <protection locked="0"/>
    </xf>
    <xf numFmtId="171" fontId="6" fillId="3" borderId="0" xfId="0" applyNumberFormat="1" applyFont="1" applyFill="1" applyProtection="1">
      <protection locked="0"/>
    </xf>
    <xf numFmtId="171" fontId="6" fillId="13" borderId="0" xfId="0" applyNumberFormat="1" applyFont="1" applyFill="1" applyProtection="1">
      <protection locked="0"/>
    </xf>
    <xf numFmtId="171" fontId="4" fillId="12" borderId="2" xfId="0" applyNumberFormat="1" applyFont="1" applyFill="1" applyBorder="1" applyAlignment="1" applyProtection="1">
      <alignment horizontal="right" vertical="center"/>
      <protection locked="0"/>
    </xf>
    <xf numFmtId="171" fontId="18" fillId="9" borderId="2" xfId="0" applyNumberFormat="1" applyFont="1" applyFill="1" applyBorder="1" applyAlignment="1">
      <alignment horizontal="right" vertical="center"/>
    </xf>
    <xf numFmtId="171" fontId="18" fillId="14" borderId="2" xfId="0" applyNumberFormat="1" applyFont="1" applyFill="1" applyBorder="1" applyAlignment="1">
      <alignment horizontal="right" vertical="center"/>
    </xf>
    <xf numFmtId="171" fontId="6" fillId="0" borderId="0" xfId="0" applyNumberFormat="1" applyFont="1"/>
    <xf numFmtId="171" fontId="25" fillId="13" borderId="0" xfId="0" applyNumberFormat="1" applyFont="1" applyFill="1" applyAlignment="1">
      <alignment horizontal="right" vertical="center"/>
    </xf>
    <xf numFmtId="171" fontId="18" fillId="13" borderId="0" xfId="0" applyNumberFormat="1" applyFont="1" applyFill="1" applyAlignment="1">
      <alignment horizontal="right" vertical="center"/>
    </xf>
    <xf numFmtId="171" fontId="18" fillId="8" borderId="0" xfId="0" applyNumberFormat="1" applyFont="1" applyFill="1" applyAlignment="1">
      <alignment horizontal="right" vertical="center"/>
    </xf>
    <xf numFmtId="171" fontId="18" fillId="12" borderId="2" xfId="0" applyNumberFormat="1" applyFont="1" applyFill="1" applyBorder="1" applyAlignment="1">
      <alignment horizontal="right" vertical="center"/>
    </xf>
    <xf numFmtId="0" fontId="9" fillId="10" borderId="0" xfId="0" applyFont="1" applyFill="1" applyAlignment="1" applyProtection="1">
      <alignment horizontal="left" vertical="center"/>
      <protection locked="0"/>
    </xf>
    <xf numFmtId="0" fontId="6" fillId="10" borderId="0" xfId="0" applyFont="1" applyFill="1" applyProtection="1">
      <protection locked="0"/>
    </xf>
    <xf numFmtId="0" fontId="11" fillId="8" borderId="0" xfId="0" applyFont="1" applyFill="1" applyAlignment="1" applyProtection="1">
      <alignment horizontal="left" vertical="center"/>
      <protection locked="0"/>
    </xf>
    <xf numFmtId="0" fontId="9" fillId="9" borderId="0" xfId="0" applyFont="1" applyFill="1" applyAlignment="1" applyProtection="1">
      <alignment horizontal="left" vertical="center"/>
      <protection locked="0"/>
    </xf>
    <xf numFmtId="0" fontId="12" fillId="11" borderId="0" xfId="0" applyFont="1" applyFill="1" applyAlignment="1" applyProtection="1">
      <alignment horizontal="left" vertical="center"/>
      <protection locked="0"/>
    </xf>
    <xf numFmtId="171" fontId="18" fillId="9" borderId="3" xfId="0" applyNumberFormat="1" applyFont="1" applyFill="1" applyBorder="1" applyAlignment="1">
      <alignment horizontal="right" vertical="center"/>
    </xf>
    <xf numFmtId="171" fontId="18" fillId="16" borderId="2" xfId="0" applyNumberFormat="1" applyFont="1" applyFill="1" applyBorder="1" applyAlignment="1">
      <alignment horizontal="right" vertical="center"/>
    </xf>
    <xf numFmtId="171" fontId="25" fillId="7" borderId="0" xfId="0" applyNumberFormat="1" applyFont="1" applyFill="1" applyAlignment="1">
      <alignment horizontal="right" vertical="center"/>
    </xf>
    <xf numFmtId="171" fontId="6" fillId="15" borderId="0" xfId="0" applyNumberFormat="1" applyFont="1" applyFill="1"/>
    <xf numFmtId="171" fontId="18" fillId="4" borderId="2" xfId="0" applyNumberFormat="1" applyFont="1" applyFill="1" applyBorder="1" applyAlignment="1">
      <alignment horizontal="right" vertical="center"/>
    </xf>
    <xf numFmtId="171" fontId="18" fillId="11" borderId="0" xfId="0" applyNumberFormat="1" applyFont="1" applyFill="1" applyAlignment="1">
      <alignment horizontal="right" vertical="center"/>
    </xf>
    <xf numFmtId="171" fontId="4" fillId="8" borderId="0" xfId="0" applyNumberFormat="1" applyFont="1" applyFill="1" applyAlignment="1" applyProtection="1">
      <alignment horizontal="right" vertical="center"/>
      <protection locked="0"/>
    </xf>
    <xf numFmtId="171" fontId="4" fillId="9" borderId="3" xfId="0" applyNumberFormat="1" applyFont="1" applyFill="1" applyBorder="1" applyAlignment="1" applyProtection="1">
      <alignment horizontal="right" vertical="center"/>
      <protection locked="0"/>
    </xf>
    <xf numFmtId="171" fontId="4" fillId="9" borderId="0" xfId="0" applyNumberFormat="1" applyFont="1" applyFill="1" applyAlignment="1" applyProtection="1">
      <alignment horizontal="right" vertical="center"/>
      <protection locked="0"/>
    </xf>
    <xf numFmtId="171" fontId="4" fillId="4" borderId="2" xfId="0" applyNumberFormat="1" applyFont="1" applyFill="1" applyBorder="1" applyAlignment="1" applyProtection="1">
      <alignment horizontal="right" vertical="center"/>
      <protection locked="0"/>
    </xf>
    <xf numFmtId="171" fontId="4" fillId="9" borderId="4" xfId="0" applyNumberFormat="1" applyFont="1" applyFill="1" applyBorder="1" applyAlignment="1" applyProtection="1">
      <alignment horizontal="right" vertical="center"/>
      <protection locked="0"/>
    </xf>
    <xf numFmtId="0" fontId="11" fillId="11" borderId="0" xfId="0" applyFont="1" applyFill="1" applyAlignment="1" applyProtection="1">
      <alignment horizontal="left" vertical="center"/>
      <protection locked="0"/>
    </xf>
    <xf numFmtId="171" fontId="4" fillId="11" borderId="4" xfId="0" applyNumberFormat="1" applyFont="1" applyFill="1" applyBorder="1" applyAlignment="1" applyProtection="1">
      <alignment horizontal="right" vertical="center"/>
      <protection locked="0"/>
    </xf>
    <xf numFmtId="171" fontId="4" fillId="8" borderId="4" xfId="0" applyNumberFormat="1" applyFont="1" applyFill="1" applyBorder="1" applyAlignment="1" applyProtection="1">
      <alignment horizontal="right" vertical="center"/>
      <protection locked="0"/>
    </xf>
    <xf numFmtId="171" fontId="4" fillId="13" borderId="2" xfId="0" applyNumberFormat="1" applyFont="1" applyFill="1" applyBorder="1" applyAlignment="1" applyProtection="1">
      <alignment horizontal="right" vertical="center"/>
      <protection locked="0"/>
    </xf>
    <xf numFmtId="171" fontId="4" fillId="6" borderId="0" xfId="0" applyNumberFormat="1" applyFont="1" applyFill="1" applyAlignment="1" applyProtection="1">
      <alignment horizontal="right" vertical="center"/>
      <protection locked="0"/>
    </xf>
    <xf numFmtId="171" fontId="18" fillId="9" borderId="4" xfId="0" applyNumberFormat="1" applyFont="1" applyFill="1" applyBorder="1" applyAlignment="1">
      <alignment horizontal="right" vertical="center"/>
    </xf>
    <xf numFmtId="171" fontId="18" fillId="11" borderId="4" xfId="0" applyNumberFormat="1" applyFont="1" applyFill="1" applyBorder="1" applyAlignment="1">
      <alignment horizontal="right" vertical="center"/>
    </xf>
    <xf numFmtId="171" fontId="18" fillId="8" borderId="4" xfId="0" applyNumberFormat="1" applyFont="1" applyFill="1" applyBorder="1" applyAlignment="1">
      <alignment horizontal="right" vertical="center"/>
    </xf>
    <xf numFmtId="0" fontId="3" fillId="2" borderId="0" xfId="0" applyFont="1" applyFill="1" applyAlignment="1" applyProtection="1">
      <alignment horizontal="left" vertical="center"/>
      <protection locked="0"/>
    </xf>
    <xf numFmtId="0" fontId="9" fillId="6" borderId="1" xfId="0" applyFont="1" applyFill="1" applyBorder="1" applyAlignment="1" applyProtection="1">
      <alignment horizontal="right" vertical="center"/>
      <protection locked="0"/>
    </xf>
    <xf numFmtId="0" fontId="5" fillId="5" borderId="0" xfId="0" applyFont="1" applyFill="1" applyAlignment="1" applyProtection="1">
      <alignment horizontal="left" vertical="center"/>
      <protection locked="0"/>
    </xf>
    <xf numFmtId="0" fontId="7" fillId="5" borderId="0" xfId="0" applyFont="1" applyFill="1" applyAlignment="1" applyProtection="1">
      <alignment horizontal="center" vertical="center"/>
      <protection locked="0"/>
    </xf>
    <xf numFmtId="0" fontId="19" fillId="5" borderId="0" xfId="0" applyFont="1" applyFill="1" applyAlignment="1" applyProtection="1">
      <alignment horizontal="left" vertical="center" indent="2"/>
      <protection locked="0"/>
    </xf>
    <xf numFmtId="166" fontId="6" fillId="5" borderId="0" xfId="0" applyNumberFormat="1" applyFont="1" applyFill="1" applyAlignment="1" applyProtection="1">
      <alignment horizontal="right" vertical="center"/>
      <protection locked="0"/>
    </xf>
    <xf numFmtId="166" fontId="0" fillId="0" borderId="0" xfId="0" applyNumberFormat="1" applyProtection="1">
      <protection locked="0"/>
    </xf>
    <xf numFmtId="0" fontId="11" fillId="5" borderId="0" xfId="0" applyFont="1" applyFill="1" applyAlignment="1" applyProtection="1">
      <alignment horizontal="left" vertical="center"/>
      <protection locked="0"/>
    </xf>
    <xf numFmtId="0" fontId="0" fillId="3" borderId="0" xfId="0" applyFill="1" applyProtection="1">
      <protection locked="0"/>
    </xf>
    <xf numFmtId="168" fontId="28" fillId="18" borderId="1" xfId="0" applyNumberFormat="1" applyFont="1" applyFill="1" applyBorder="1" applyAlignment="1">
      <alignment horizontal="center" vertical="center"/>
    </xf>
    <xf numFmtId="171" fontId="6" fillId="5" borderId="0" xfId="0" applyNumberFormat="1" applyFont="1" applyFill="1" applyAlignment="1">
      <alignment horizontal="right" vertical="center"/>
    </xf>
    <xf numFmtId="167" fontId="6" fillId="5" borderId="0" xfId="0" applyNumberFormat="1" applyFont="1" applyFill="1" applyAlignment="1">
      <alignment horizontal="right" vertical="center"/>
    </xf>
    <xf numFmtId="171" fontId="6" fillId="0" borderId="0" xfId="0" applyNumberFormat="1" applyFont="1" applyAlignment="1">
      <alignment horizontal="right" vertical="center"/>
    </xf>
    <xf numFmtId="164" fontId="6" fillId="5" borderId="0" xfId="0" applyNumberFormat="1" applyFont="1" applyFill="1" applyAlignment="1">
      <alignment horizontal="right" vertical="center"/>
    </xf>
    <xf numFmtId="164" fontId="6" fillId="0" borderId="0" xfId="0" applyNumberFormat="1" applyFont="1" applyAlignment="1">
      <alignment horizontal="right" vertical="center"/>
    </xf>
    <xf numFmtId="165" fontId="6" fillId="5" borderId="0" xfId="0" applyNumberFormat="1" applyFont="1" applyFill="1" applyAlignment="1">
      <alignment horizontal="right" vertical="center"/>
    </xf>
    <xf numFmtId="165" fontId="6" fillId="0" borderId="0" xfId="0" applyNumberFormat="1" applyFont="1" applyAlignment="1">
      <alignment horizontal="right" vertical="center"/>
    </xf>
    <xf numFmtId="171" fontId="18" fillId="5" borderId="0" xfId="0" applyNumberFormat="1" applyFont="1" applyFill="1" applyAlignment="1">
      <alignment horizontal="right" vertical="center"/>
    </xf>
    <xf numFmtId="166" fontId="24" fillId="0" borderId="0" xfId="0" applyNumberFormat="1" applyFont="1" applyAlignment="1">
      <alignment horizontal="center"/>
    </xf>
    <xf numFmtId="10" fontId="23" fillId="20" borderId="5" xfId="0" applyNumberFormat="1" applyFont="1" applyFill="1" applyBorder="1" applyAlignment="1">
      <alignment horizontal="center"/>
    </xf>
    <xf numFmtId="9" fontId="23" fillId="20" borderId="5" xfId="0" applyNumberFormat="1" applyFont="1" applyFill="1" applyBorder="1" applyAlignment="1">
      <alignment horizontal="center"/>
    </xf>
    <xf numFmtId="1" fontId="0" fillId="0" borderId="5" xfId="0" applyNumberFormat="1" applyBorder="1" applyAlignment="1">
      <alignment horizontal="center"/>
    </xf>
    <xf numFmtId="1" fontId="22" fillId="19" borderId="5" xfId="0" applyNumberFormat="1" applyFont="1" applyFill="1" applyBorder="1" applyAlignment="1">
      <alignment horizontal="center"/>
    </xf>
    <xf numFmtId="0" fontId="41" fillId="0" borderId="0" xfId="0" applyFont="1" applyProtection="1">
      <protection locked="0"/>
    </xf>
    <xf numFmtId="0" fontId="42" fillId="0" borderId="0" xfId="0" applyFont="1" applyProtection="1">
      <protection locked="0"/>
    </xf>
    <xf numFmtId="0" fontId="43" fillId="0" borderId="0" xfId="0" applyFont="1" applyProtection="1">
      <protection locked="0"/>
    </xf>
    <xf numFmtId="0" fontId="0" fillId="0" borderId="26" xfId="0" applyBorder="1" applyProtection="1">
      <protection locked="0"/>
    </xf>
    <xf numFmtId="1" fontId="0" fillId="0" borderId="0" xfId="0" applyNumberFormat="1" applyAlignment="1">
      <alignment horizontal="center"/>
    </xf>
    <xf numFmtId="0" fontId="22" fillId="21" borderId="12" xfId="0" applyFont="1" applyFill="1" applyBorder="1" applyAlignment="1">
      <alignment horizontal="center"/>
    </xf>
    <xf numFmtId="0" fontId="0" fillId="20" borderId="0" xfId="0" applyFill="1" applyAlignment="1">
      <alignment horizontal="left" indent="6"/>
    </xf>
    <xf numFmtId="0" fontId="0" fillId="20" borderId="10" xfId="0" applyFill="1" applyBorder="1" applyAlignment="1">
      <alignment horizontal="left" indent="6"/>
    </xf>
    <xf numFmtId="0" fontId="23" fillId="20" borderId="12" xfId="0" applyFont="1" applyFill="1" applyBorder="1" applyAlignment="1">
      <alignment horizontal="left" indent="6"/>
    </xf>
    <xf numFmtId="0" fontId="23" fillId="20" borderId="13" xfId="0" applyFont="1" applyFill="1" applyBorder="1" applyAlignment="1">
      <alignment horizontal="left" indent="6"/>
    </xf>
    <xf numFmtId="0" fontId="38" fillId="20" borderId="14" xfId="1" applyNumberFormat="1" applyFont="1" applyFill="1" applyBorder="1" applyAlignment="1" applyProtection="1">
      <alignment horizontal="left" vertical="center" indent="10"/>
    </xf>
    <xf numFmtId="0" fontId="38" fillId="20" borderId="15" xfId="1" applyNumberFormat="1" applyFont="1" applyFill="1" applyBorder="1" applyAlignment="1" applyProtection="1">
      <alignment horizontal="left" vertical="center" indent="10"/>
    </xf>
    <xf numFmtId="0" fontId="31" fillId="21" borderId="0" xfId="0" applyFont="1" applyFill="1" applyAlignment="1">
      <alignment horizontal="center" vertical="center"/>
    </xf>
    <xf numFmtId="0" fontId="33" fillId="20" borderId="16" xfId="0" applyFont="1" applyFill="1" applyBorder="1" applyAlignment="1">
      <alignment horizontal="left" vertical="center" indent="3"/>
    </xf>
    <xf numFmtId="0" fontId="33" fillId="20" borderId="17" xfId="0" applyFont="1" applyFill="1" applyBorder="1" applyAlignment="1">
      <alignment horizontal="left" vertical="center" indent="3"/>
    </xf>
    <xf numFmtId="0" fontId="34" fillId="0" borderId="16" xfId="0" applyFont="1" applyBorder="1" applyAlignment="1">
      <alignment horizontal="left" vertical="center" indent="3"/>
    </xf>
    <xf numFmtId="0" fontId="34" fillId="0" borderId="22" xfId="0" applyFont="1" applyBorder="1" applyAlignment="1">
      <alignment horizontal="left" vertical="center" indent="3"/>
    </xf>
    <xf numFmtId="0" fontId="34" fillId="0" borderId="17" xfId="0" applyFont="1" applyBorder="1" applyAlignment="1">
      <alignment horizontal="left" vertical="center" indent="3"/>
    </xf>
    <xf numFmtId="0" fontId="31" fillId="21" borderId="0" xfId="0" applyFont="1" applyFill="1" applyAlignment="1">
      <alignment horizontal="left" vertical="center" indent="1"/>
    </xf>
    <xf numFmtId="0" fontId="31" fillId="21" borderId="0" xfId="0" applyFont="1" applyFill="1" applyAlignment="1">
      <alignment horizontal="center"/>
    </xf>
    <xf numFmtId="173" fontId="0" fillId="20" borderId="0" xfId="0" applyNumberFormat="1" applyFill="1" applyAlignment="1">
      <alignment horizontal="left" indent="6"/>
    </xf>
    <xf numFmtId="173" fontId="0" fillId="20" borderId="10" xfId="0" applyNumberFormat="1" applyFill="1" applyBorder="1" applyAlignment="1">
      <alignment horizontal="left" indent="6"/>
    </xf>
    <xf numFmtId="0" fontId="33" fillId="20" borderId="18" xfId="0" applyFont="1" applyFill="1" applyBorder="1" applyAlignment="1">
      <alignment horizontal="left" vertical="center" indent="3"/>
    </xf>
    <xf numFmtId="0" fontId="33" fillId="20" borderId="19" xfId="0" applyFont="1" applyFill="1" applyBorder="1" applyAlignment="1">
      <alignment horizontal="left" vertical="center" indent="3"/>
    </xf>
    <xf numFmtId="0" fontId="33" fillId="20" borderId="20" xfId="0" applyFont="1" applyFill="1" applyBorder="1" applyAlignment="1">
      <alignment horizontal="left" vertical="center" indent="3"/>
    </xf>
    <xf numFmtId="0" fontId="33" fillId="20" borderId="21" xfId="0" applyFont="1" applyFill="1" applyBorder="1" applyAlignment="1">
      <alignment horizontal="left" vertical="center" indent="3"/>
    </xf>
    <xf numFmtId="0" fontId="34" fillId="0" borderId="18" xfId="0" applyFont="1" applyBorder="1" applyAlignment="1">
      <alignment horizontal="left" vertical="center" indent="3"/>
    </xf>
    <xf numFmtId="0" fontId="34" fillId="0" borderId="0" xfId="0" applyFont="1" applyAlignment="1">
      <alignment horizontal="left" vertical="center" indent="3"/>
    </xf>
    <xf numFmtId="0" fontId="34" fillId="0" borderId="19" xfId="0" applyFont="1" applyBorder="1" applyAlignment="1">
      <alignment horizontal="left" vertical="center" indent="3"/>
    </xf>
    <xf numFmtId="0" fontId="34" fillId="0" borderId="20" xfId="0" applyFont="1" applyBorder="1" applyAlignment="1">
      <alignment horizontal="left" vertical="center" indent="3"/>
    </xf>
    <xf numFmtId="0" fontId="34" fillId="0" borderId="23" xfId="0" applyFont="1" applyBorder="1" applyAlignment="1">
      <alignment horizontal="left" vertical="center" indent="3"/>
    </xf>
    <xf numFmtId="0" fontId="34" fillId="0" borderId="21" xfId="0" applyFont="1" applyBorder="1" applyAlignment="1">
      <alignment horizontal="left" vertical="center" indent="3"/>
    </xf>
    <xf numFmtId="0" fontId="17" fillId="5" borderId="0" xfId="0" applyFont="1" applyFill="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39" fillId="2" borderId="0" xfId="0" applyFont="1" applyFill="1" applyAlignment="1" applyProtection="1">
      <alignment horizontal="center" vertical="center"/>
      <protection locked="0"/>
    </xf>
    <xf numFmtId="0" fontId="13" fillId="3" borderId="0" xfId="0" applyFont="1" applyFill="1" applyAlignment="1" applyProtection="1">
      <alignment horizontal="left" vertical="center"/>
      <protection locked="0"/>
    </xf>
    <xf numFmtId="0" fontId="7"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10" fontId="43" fillId="0" borderId="0" xfId="0" applyNumberFormat="1" applyFont="1" applyProtection="1"/>
    <xf numFmtId="9" fontId="43" fillId="0" borderId="0" xfId="0" applyNumberFormat="1" applyFont="1" applyProtection="1"/>
  </cellXfs>
  <cellStyles count="2">
    <cellStyle name="Hyperlink" xfId="1" builtinId="8"/>
    <cellStyle name="Normal" xfId="0" builtinId="0"/>
  </cellStyles>
  <dxfs count="0"/>
  <tableStyles count="1" defaultTableStyle="TableStyleMedium2" defaultPivotStyle="PivotStyleLight16">
    <tableStyle name="Invisible" pivot="0" table="0" count="0" xr9:uid="{6514803A-B0A8-434E-9046-CDFC7D984978}"/>
  </tableStyles>
  <colors>
    <indexedColors>
      <rgbColor rgb="FF000000"/>
      <rgbColor rgb="FFFFFFFF"/>
      <rgbColor rgb="FFC00000"/>
      <rgbColor rgb="FF7F9A48"/>
      <rgbColor rgb="FF0000FF"/>
      <rgbColor rgb="FFBCD099"/>
      <rgbColor rgb="FFCE8E8C"/>
      <rgbColor rgb="FFD6E4F0"/>
      <rgbColor rgb="FFB76F32"/>
      <rgbColor rgb="FF008000"/>
      <rgbColor rgb="FFF2F2F2"/>
      <rgbColor rgb="FF748D41"/>
      <rgbColor rgb="FF7030A0"/>
      <rgbColor rgb="FF367F93"/>
      <rgbColor rgb="FFAFB4D3"/>
      <rgbColor rgb="FF878787"/>
      <rgbColor rgb="FF8DA5CC"/>
      <rgbColor rgb="FF9E403D"/>
      <rgbColor rgb="FFFFF8DC"/>
      <rgbColor rgb="FFEBF7EE"/>
      <rgbColor rgb="FF5F4A78"/>
      <rgbColor rgb="FFE1863C"/>
      <rgbColor rgb="FF4D80BC"/>
      <rgbColor rgb="FFBCCDE0"/>
      <rgbColor rgb="FFF9F9F9"/>
      <rgbColor rgb="FFCC7B37"/>
      <rgbColor rgb="FFFCE4D6"/>
      <rgbColor rgb="FFD9DED5"/>
      <rgbColor rgb="FF695185"/>
      <rgbColor rgb="FF7F62A1"/>
      <rgbColor rgb="FF429AB2"/>
      <rgbColor rgb="FFE8E8E8"/>
      <rgbColor rgb="FF83A94D"/>
      <rgbColor rgb="FFEBF3FB"/>
      <rgbColor rgb="FFE2EFDA"/>
      <rgbColor rgb="FFFFF2CC"/>
      <rgbColor rgb="FF8BC1D4"/>
      <rgbColor rgb="FFF8B189"/>
      <rgbColor rgb="FFE1BCBB"/>
      <rgbColor rgb="FFF9C3A8"/>
      <rgbColor rgb="FF4470A6"/>
      <rgbColor rgb="FF49ABC6"/>
      <rgbColor rgb="FF9ABA58"/>
      <rgbColor rgb="FFC9A84C"/>
      <rgbColor rgb="FFF79544"/>
      <rgbColor rgb="FFC55A11"/>
      <rgbColor rgb="FF735991"/>
      <rgbColor rgb="FFA595BA"/>
      <rgbColor rgb="FF1F3864"/>
      <rgbColor rgb="FF3C8DA3"/>
      <rgbColor rgb="FF595959"/>
      <rgbColor rgb="FF375623"/>
      <rgbColor rgb="FFC04E4B"/>
      <rgbColor rgb="FFAD4744"/>
      <rgbColor rgb="FF2F5496"/>
      <rgbColor rgb="FF404040"/>
      <rgbColor rgb="00003366"/>
      <rgbColor rgb="00339966"/>
      <rgbColor rgb="00003300"/>
      <rgbColor rgb="00333300"/>
      <rgbColor rgb="00993300"/>
      <rgbColor rgb="00993366"/>
      <rgbColor rgb="00333399"/>
      <rgbColor rgb="00333333"/>
    </indexedColors>
    <mruColors>
      <color rgb="FF0000FF"/>
      <color rgb="FFF2F2F2"/>
      <color rgb="FFEBF3FB"/>
      <color rgb="FFE8E8E8"/>
      <color rgb="FF000000"/>
      <color rgb="FF27AE60"/>
      <color rgb="FF99FF99"/>
      <color rgb="FF25B190"/>
      <color rgb="FF8EB4E3"/>
      <color rgb="FF4A90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1" i="0" u="none" strike="noStrike" kern="1200" spc="0" baseline="0">
                <a:solidFill>
                  <a:schemeClr val="tx1"/>
                </a:solidFill>
                <a:latin typeface="+mn-lt"/>
                <a:ea typeface="+mn-ea"/>
                <a:cs typeface="+mn-cs"/>
              </a:defRPr>
            </a:pPr>
            <a:r>
              <a:rPr lang="en-IN" sz="1400" b="1"/>
              <a:t>Revenue &amp; Growth Trend</a:t>
            </a:r>
          </a:p>
        </c:rich>
      </c:tx>
      <c:layout>
        <c:manualLayout>
          <c:xMode val="edge"/>
          <c:yMode val="edge"/>
          <c:x val="0.35147347170765714"/>
          <c:y val="2.2666482637831251E-2"/>
        </c:manualLayout>
      </c:layout>
      <c:overlay val="0"/>
      <c:spPr>
        <a:noFill/>
        <a:ln>
          <a:noFill/>
        </a:ln>
        <a:effectLst/>
      </c:spPr>
      <c:txPr>
        <a:bodyPr rot="0" spcFirstLastPara="1" vertOverflow="ellipsis" vert="horz" wrap="square" anchor="ctr" anchorCtr="1"/>
        <a:lstStyle/>
        <a:p>
          <a:pPr>
            <a:defRPr lang="en-US"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7.6612458380938248E-2"/>
          <c:y val="0.13193538668975477"/>
          <c:w val="0.8649997376474674"/>
          <c:h val="0.68778646240563834"/>
        </c:manualLayout>
      </c:layout>
      <c:barChart>
        <c:barDir val="col"/>
        <c:grouping val="clustered"/>
        <c:varyColors val="0"/>
        <c:ser>
          <c:idx val="0"/>
          <c:order val="0"/>
          <c:tx>
            <c:v>Revenue (Cr)</c:v>
          </c:tx>
          <c:spPr>
            <a:solidFill>
              <a:schemeClr val="tx2">
                <a:lumMod val="40000"/>
                <a:lumOff val="60000"/>
              </a:schemeClr>
            </a:solidFill>
            <a:ln>
              <a:noFill/>
            </a:ln>
            <a:effectLst/>
          </c:spPr>
          <c:invertIfNegative val="0"/>
          <c:dPt>
            <c:idx val="3"/>
            <c:invertIfNegative val="0"/>
            <c:bubble3D val="0"/>
            <c:spPr>
              <a:solidFill>
                <a:srgbClr val="B0B0B0"/>
              </a:solidFill>
              <a:ln>
                <a:noFill/>
              </a:ln>
              <a:effectLst/>
            </c:spPr>
            <c:extLst>
              <c:ext xmlns:c16="http://schemas.microsoft.com/office/drawing/2014/chart" uri="{C3380CC4-5D6E-409C-BE32-E72D297353CC}">
                <c16:uniqueId val="{00000000-9A39-499F-B529-12D412E3F41F}"/>
              </c:ext>
            </c:extLst>
          </c:dPt>
          <c:dPt>
            <c:idx val="4"/>
            <c:invertIfNegative val="0"/>
            <c:bubble3D val="0"/>
            <c:spPr>
              <a:solidFill>
                <a:srgbClr val="25B190"/>
              </a:solidFill>
              <a:ln>
                <a:noFill/>
              </a:ln>
              <a:effectLst/>
            </c:spPr>
            <c:extLst>
              <c:ext xmlns:c16="http://schemas.microsoft.com/office/drawing/2014/chart" uri="{C3380CC4-5D6E-409C-BE32-E72D297353CC}">
                <c16:uniqueId val="{00000001-9A39-499F-B529-12D412E3F41F}"/>
              </c:ext>
            </c:extLst>
          </c:dPt>
          <c:dLbls>
            <c:dLbl>
              <c:idx val="3"/>
              <c:layout>
                <c:manualLayout>
                  <c:x val="3.0830382730445895E-2"/>
                  <c:y val="-3.2568876040955957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A39-499F-B529-12D412E3F41F}"/>
                </c:ext>
              </c:extLst>
            </c:dLbl>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Dashboard!$I$5:$Q$5</c:f>
              <c:numCache>
                <c:formatCode>\₹\ #,##0;\(#,##0\);\-</c:formatCode>
                <c:ptCount val="9"/>
                <c:pt idx="0">
                  <c:v>14741</c:v>
                </c:pt>
                <c:pt idx="1">
                  <c:v>16897</c:v>
                </c:pt>
                <c:pt idx="2">
                  <c:v>19126</c:v>
                </c:pt>
                <c:pt idx="3">
                  <c:v>24394</c:v>
                </c:pt>
                <c:pt idx="4">
                  <c:v>19515.2</c:v>
                </c:pt>
                <c:pt idx="5">
                  <c:v>20202</c:v>
                </c:pt>
                <c:pt idx="6">
                  <c:v>22222.2</c:v>
                </c:pt>
                <c:pt idx="7">
                  <c:v>24666.642000000003</c:v>
                </c:pt>
                <c:pt idx="8">
                  <c:v>27503.305830000005</c:v>
                </c:pt>
              </c:numCache>
            </c:numRef>
          </c:val>
          <c:extLst>
            <c:ext xmlns:c16="http://schemas.microsoft.com/office/drawing/2014/chart" uri="{C3380CC4-5D6E-409C-BE32-E72D297353CC}">
              <c16:uniqueId val="{00000000-97F9-43C0-A0A3-BBF1044E0375}"/>
            </c:ext>
          </c:extLst>
        </c:ser>
        <c:dLbls>
          <c:showLegendKey val="0"/>
          <c:showVal val="0"/>
          <c:showCatName val="0"/>
          <c:showSerName val="0"/>
          <c:showPercent val="0"/>
          <c:showBubbleSize val="0"/>
        </c:dLbls>
        <c:gapWidth val="135"/>
        <c:overlap val="-51"/>
        <c:axId val="726207567"/>
        <c:axId val="726192207"/>
      </c:barChart>
      <c:lineChart>
        <c:grouping val="standard"/>
        <c:varyColors val="0"/>
        <c:ser>
          <c:idx val="1"/>
          <c:order val="1"/>
          <c:tx>
            <c:v>Growth (%)</c:v>
          </c:tx>
          <c:spPr>
            <a:ln w="28575" cap="rnd">
              <a:solidFill>
                <a:schemeClr val="accent5">
                  <a:lumMod val="50000"/>
                </a:schemeClr>
              </a:solidFill>
              <a:round/>
            </a:ln>
            <a:effectLst/>
          </c:spPr>
          <c:marker>
            <c:symbol val="none"/>
          </c:marker>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Dashboard!$I$6:$Q$6</c:f>
              <c:numCache>
                <c:formatCode>0.0%</c:formatCode>
                <c:ptCount val="9"/>
                <c:pt idx="0">
                  <c:v>0.10419475655430711</c:v>
                </c:pt>
                <c:pt idx="1">
                  <c:v>0.14625873414286683</c:v>
                </c:pt>
                <c:pt idx="2">
                  <c:v>0.13191690832692193</c:v>
                </c:pt>
                <c:pt idx="3">
                  <c:v>0.2754365784795566</c:v>
                </c:pt>
                <c:pt idx="4">
                  <c:v>2.0349262783645336E-2</c:v>
                </c:pt>
                <c:pt idx="5">
                  <c:v>#N/A</c:v>
                </c:pt>
                <c:pt idx="6">
                  <c:v>0.1</c:v>
                </c:pt>
                <c:pt idx="7">
                  <c:v>0.11</c:v>
                </c:pt>
                <c:pt idx="8">
                  <c:v>0.11499999999999999</c:v>
                </c:pt>
              </c:numCache>
            </c:numRef>
          </c:val>
          <c:smooth val="0"/>
          <c:extLst>
            <c:ext xmlns:c16="http://schemas.microsoft.com/office/drawing/2014/chart" uri="{C3380CC4-5D6E-409C-BE32-E72D297353CC}">
              <c16:uniqueId val="{00000001-97F9-43C0-A0A3-BBF1044E0375}"/>
            </c:ext>
          </c:extLst>
        </c:ser>
        <c:dLbls>
          <c:showLegendKey val="0"/>
          <c:showVal val="0"/>
          <c:showCatName val="0"/>
          <c:showSerName val="0"/>
          <c:showPercent val="0"/>
          <c:showBubbleSize val="0"/>
        </c:dLbls>
        <c:marker val="1"/>
        <c:smooth val="0"/>
        <c:axId val="726211407"/>
        <c:axId val="726214287"/>
      </c:lineChart>
      <c:catAx>
        <c:axId val="726207567"/>
        <c:scaling>
          <c:orientation val="minMax"/>
        </c:scaling>
        <c:delete val="0"/>
        <c:axPos val="b"/>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lang="en-US" sz="1000" b="1" i="0" u="none" strike="noStrike" kern="1200" baseline="0">
                <a:solidFill>
                  <a:schemeClr val="tx1"/>
                </a:solidFill>
                <a:latin typeface="+mn-lt"/>
                <a:ea typeface="+mn-ea"/>
                <a:cs typeface="+mn-cs"/>
              </a:defRPr>
            </a:pPr>
            <a:endParaRPr lang="en-US"/>
          </a:p>
        </c:txPr>
        <c:crossAx val="726192207"/>
        <c:crosses val="autoZero"/>
        <c:auto val="1"/>
        <c:lblAlgn val="ctr"/>
        <c:lblOffset val="100"/>
        <c:noMultiLvlLbl val="0"/>
      </c:catAx>
      <c:valAx>
        <c:axId val="726192207"/>
        <c:scaling>
          <c:orientation val="minMax"/>
        </c:scaling>
        <c:delete val="0"/>
        <c:axPos val="l"/>
        <c:majorGridlines>
          <c:spPr>
            <a:ln w="9525" cap="flat" cmpd="sng" algn="ctr">
              <a:solidFill>
                <a:schemeClr val="bg1">
                  <a:lumMod val="9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726207567"/>
        <c:crosses val="autoZero"/>
        <c:crossBetween val="between"/>
      </c:valAx>
      <c:valAx>
        <c:axId val="726214287"/>
        <c:scaling>
          <c:orientation val="minMax"/>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726211407"/>
        <c:crosses val="max"/>
        <c:crossBetween val="between"/>
      </c:valAx>
      <c:catAx>
        <c:axId val="726211407"/>
        <c:scaling>
          <c:orientation val="minMax"/>
        </c:scaling>
        <c:delete val="1"/>
        <c:axPos val="b"/>
        <c:numFmt formatCode="General" sourceLinked="1"/>
        <c:majorTickMark val="out"/>
        <c:minorTickMark val="none"/>
        <c:tickLblPos val="nextTo"/>
        <c:crossAx val="726214287"/>
        <c:crosses val="autoZero"/>
        <c:auto val="1"/>
        <c:lblAlgn val="ctr"/>
        <c:lblOffset val="100"/>
        <c:noMultiLvlLbl val="0"/>
      </c:catAx>
      <c:spPr>
        <a:noFill/>
        <a:ln>
          <a:noFill/>
        </a:ln>
        <a:effectLst/>
      </c:spPr>
    </c:plotArea>
    <c:legend>
      <c:legendPos val="b"/>
      <c:layout>
        <c:manualLayout>
          <c:xMode val="edge"/>
          <c:yMode val="edge"/>
          <c:x val="0.64411121261423077"/>
          <c:y val="0.91431203778591474"/>
          <c:w val="0.32031352899069432"/>
          <c:h val="6.7127055108940833E-2"/>
        </c:manualLayout>
      </c:layout>
      <c:overlay val="0"/>
      <c:spPr>
        <a:noFill/>
        <a:ln>
          <a:noFill/>
        </a:ln>
        <a:effectLst/>
      </c:spPr>
      <c:txPr>
        <a:bodyPr rot="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IN" sz="1400" b="1">
                <a:solidFill>
                  <a:schemeClr val="tx1"/>
                </a:solidFill>
              </a:rPr>
              <a:t>Profitability Trend EBITDA</a:t>
            </a:r>
            <a:r>
              <a:rPr lang="en-IN" sz="1400" b="1" baseline="0">
                <a:solidFill>
                  <a:schemeClr val="tx1"/>
                </a:solidFill>
              </a:rPr>
              <a:t> (%) vs PAT (%)</a:t>
            </a:r>
            <a:endParaRPr lang="en-IN" sz="1400" b="1">
              <a:solidFill>
                <a:schemeClr val="tx1"/>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IN"/>
        </a:p>
      </c:txPr>
    </c:title>
    <c:autoTitleDeleted val="0"/>
    <c:plotArea>
      <c:layout/>
      <c:lineChart>
        <c:grouping val="standard"/>
        <c:varyColors val="0"/>
        <c:ser>
          <c:idx val="0"/>
          <c:order val="0"/>
          <c:tx>
            <c:v>EBITDA Margin (%)</c:v>
          </c:tx>
          <c:spPr>
            <a:ln w="19050" cap="rnd">
              <a:solidFill>
                <a:srgbClr val="4A90E2"/>
              </a:solidFill>
              <a:round/>
            </a:ln>
            <a:effectLst/>
          </c:spPr>
          <c:marker>
            <c:symbol val="circle"/>
            <c:size val="5"/>
            <c:spPr>
              <a:solidFill>
                <a:schemeClr val="accent1"/>
              </a:solidFill>
              <a:ln w="9525">
                <a:solidFill>
                  <a:schemeClr val="accent1"/>
                </a:solidFill>
              </a:ln>
              <a:effectLst/>
            </c:spPr>
          </c:marker>
          <c:dPt>
            <c:idx val="3"/>
            <c:marker>
              <c:symbol val="circle"/>
              <c:size val="5"/>
              <c:spPr>
                <a:solidFill>
                  <a:schemeClr val="bg1">
                    <a:lumMod val="50000"/>
                  </a:schemeClr>
                </a:solidFill>
                <a:ln w="9525">
                  <a:solidFill>
                    <a:schemeClr val="bg1">
                      <a:lumMod val="50000"/>
                    </a:schemeClr>
                  </a:solidFill>
                </a:ln>
                <a:effectLst/>
              </c:spPr>
            </c:marker>
            <c:bubble3D val="0"/>
            <c:spPr>
              <a:ln w="19050" cap="rnd">
                <a:solidFill>
                  <a:schemeClr val="bg1">
                    <a:lumMod val="50000"/>
                  </a:schemeClr>
                </a:solidFill>
                <a:round/>
              </a:ln>
              <a:effectLst/>
            </c:spPr>
            <c:extLst>
              <c:ext xmlns:c16="http://schemas.microsoft.com/office/drawing/2014/chart" uri="{C3380CC4-5D6E-409C-BE32-E72D297353CC}">
                <c16:uniqueId val="{00000002-69A5-4F70-95DC-6225F1D56964}"/>
              </c:ext>
            </c:extLst>
          </c:dPt>
          <c:dPt>
            <c:idx val="4"/>
            <c:marker>
              <c:symbol val="circle"/>
              <c:size val="5"/>
              <c:spPr>
                <a:solidFill>
                  <a:srgbClr val="27AE60"/>
                </a:solidFill>
                <a:ln w="9525">
                  <a:solidFill>
                    <a:srgbClr val="27AE60"/>
                  </a:solidFill>
                </a:ln>
                <a:effectLst/>
              </c:spPr>
            </c:marker>
            <c:bubble3D val="0"/>
            <c:spPr>
              <a:ln w="19050" cap="rnd">
                <a:solidFill>
                  <a:srgbClr val="27AE60"/>
                </a:solidFill>
                <a:round/>
              </a:ln>
              <a:effectLst/>
            </c:spPr>
            <c:extLst>
              <c:ext xmlns:c16="http://schemas.microsoft.com/office/drawing/2014/chart" uri="{C3380CC4-5D6E-409C-BE32-E72D297353CC}">
                <c16:uniqueId val="{00000003-69A5-4F70-95DC-6225F1D56964}"/>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Dashboard!$I$8:$Q$8</c:f>
              <c:numCache>
                <c:formatCode>0.0%;\(0.0%\);\-</c:formatCode>
                <c:ptCount val="9"/>
                <c:pt idx="0">
                  <c:v>0.24163896614883656</c:v>
                </c:pt>
                <c:pt idx="1">
                  <c:v>0.21932887494821565</c:v>
                </c:pt>
                <c:pt idx="2">
                  <c:v>0.2337655547422357</c:v>
                </c:pt>
                <c:pt idx="3">
                  <c:v>0.2395261129786013</c:v>
                </c:pt>
                <c:pt idx="4">
                  <c:v>0.23952611297860132</c:v>
                </c:pt>
                <c:pt idx="5">
                  <c:v>0.23616473616473616</c:v>
                </c:pt>
                <c:pt idx="6">
                  <c:v>0.215</c:v>
                </c:pt>
                <c:pt idx="7">
                  <c:v>0.22</c:v>
                </c:pt>
                <c:pt idx="8">
                  <c:v>0.22500000000000001</c:v>
                </c:pt>
              </c:numCache>
            </c:numRef>
          </c:val>
          <c:smooth val="0"/>
          <c:extLst>
            <c:ext xmlns:c16="http://schemas.microsoft.com/office/drawing/2014/chart" uri="{C3380CC4-5D6E-409C-BE32-E72D297353CC}">
              <c16:uniqueId val="{00000000-69A5-4F70-95DC-6225F1D56964}"/>
            </c:ext>
          </c:extLst>
        </c:ser>
        <c:ser>
          <c:idx val="1"/>
          <c:order val="1"/>
          <c:tx>
            <c:v>PAT Margin (%)</c:v>
          </c:tx>
          <c:spPr>
            <a:ln w="19050" cap="rnd">
              <a:solidFill>
                <a:srgbClr val="25B190"/>
              </a:solidFill>
              <a:round/>
            </a:ln>
            <a:effectLst/>
          </c:spPr>
          <c:marker>
            <c:symbol val="circle"/>
            <c:size val="5"/>
            <c:spPr>
              <a:solidFill>
                <a:srgbClr val="25B190"/>
              </a:solidFill>
              <a:ln w="9525">
                <a:solidFill>
                  <a:srgbClr val="25B190"/>
                </a:solidFill>
              </a:ln>
              <a:effectLst/>
            </c:spPr>
          </c:marker>
          <c:dPt>
            <c:idx val="3"/>
            <c:marker>
              <c:symbol val="circle"/>
              <c:size val="5"/>
              <c:spPr>
                <a:solidFill>
                  <a:schemeClr val="bg1">
                    <a:lumMod val="50000"/>
                  </a:schemeClr>
                </a:solidFill>
                <a:ln w="9525">
                  <a:solidFill>
                    <a:schemeClr val="bg1">
                      <a:lumMod val="50000"/>
                    </a:schemeClr>
                  </a:solidFill>
                </a:ln>
                <a:effectLst/>
              </c:spPr>
            </c:marker>
            <c:bubble3D val="0"/>
            <c:spPr>
              <a:ln w="19050" cap="rnd">
                <a:solidFill>
                  <a:schemeClr val="bg1">
                    <a:lumMod val="50000"/>
                  </a:schemeClr>
                </a:solidFill>
                <a:round/>
              </a:ln>
              <a:effectLst/>
            </c:spPr>
            <c:extLst>
              <c:ext xmlns:c16="http://schemas.microsoft.com/office/drawing/2014/chart" uri="{C3380CC4-5D6E-409C-BE32-E72D297353CC}">
                <c16:uniqueId val="{00000004-69A5-4F70-95DC-6225F1D56964}"/>
              </c:ext>
            </c:extLst>
          </c:dPt>
          <c:dPt>
            <c:idx val="4"/>
            <c:marker>
              <c:symbol val="circle"/>
              <c:size val="5"/>
              <c:spPr>
                <a:solidFill>
                  <a:srgbClr val="27AE60"/>
                </a:solidFill>
                <a:ln w="9525">
                  <a:solidFill>
                    <a:srgbClr val="27AE60"/>
                  </a:solidFill>
                </a:ln>
                <a:effectLst/>
              </c:spPr>
            </c:marker>
            <c:bubble3D val="0"/>
            <c:spPr>
              <a:ln w="19050" cap="rnd">
                <a:solidFill>
                  <a:srgbClr val="27AE60"/>
                </a:solidFill>
                <a:round/>
              </a:ln>
              <a:effectLst/>
            </c:spPr>
            <c:extLst>
              <c:ext xmlns:c16="http://schemas.microsoft.com/office/drawing/2014/chart" uri="{C3380CC4-5D6E-409C-BE32-E72D297353CC}">
                <c16:uniqueId val="{00000005-69A5-4F70-95DC-6225F1D56964}"/>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Dashboard!$I$11:$Q$11</c:f>
              <c:numCache>
                <c:formatCode>0.0%;\(0.0%\);\-</c:formatCode>
                <c:ptCount val="9"/>
                <c:pt idx="0">
                  <c:v>0.14368089003459739</c:v>
                </c:pt>
                <c:pt idx="1">
                  <c:v>0.14150440906669823</c:v>
                </c:pt>
                <c:pt idx="2">
                  <c:v>0.15680225870542716</c:v>
                </c:pt>
                <c:pt idx="3">
                  <c:v>0.16122817086168731</c:v>
                </c:pt>
                <c:pt idx="4">
                  <c:v>0.16122817086168728</c:v>
                </c:pt>
                <c:pt idx="5">
                  <c:v>0.16404316404316405</c:v>
                </c:pt>
                <c:pt idx="6">
                  <c:v>0.14757800888300887</c:v>
                </c:pt>
                <c:pt idx="7">
                  <c:v>0.15020913687359633</c:v>
                </c:pt>
                <c:pt idx="8">
                  <c:v>0.15273321443982976</c:v>
                </c:pt>
              </c:numCache>
            </c:numRef>
          </c:val>
          <c:smooth val="0"/>
          <c:extLst>
            <c:ext xmlns:c16="http://schemas.microsoft.com/office/drawing/2014/chart" uri="{C3380CC4-5D6E-409C-BE32-E72D297353CC}">
              <c16:uniqueId val="{00000001-69A5-4F70-95DC-6225F1D56964}"/>
            </c:ext>
          </c:extLst>
        </c:ser>
        <c:dLbls>
          <c:dLblPos val="t"/>
          <c:showLegendKey val="0"/>
          <c:showVal val="1"/>
          <c:showCatName val="0"/>
          <c:showSerName val="0"/>
          <c:showPercent val="0"/>
          <c:showBubbleSize val="0"/>
        </c:dLbls>
        <c:marker val="1"/>
        <c:smooth val="0"/>
        <c:axId val="1840693327"/>
        <c:axId val="1840692847"/>
      </c:lineChart>
      <c:catAx>
        <c:axId val="1840693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1840692847"/>
        <c:crosses val="autoZero"/>
        <c:auto val="1"/>
        <c:lblAlgn val="ctr"/>
        <c:lblOffset val="100"/>
        <c:noMultiLvlLbl val="0"/>
      </c:catAx>
      <c:valAx>
        <c:axId val="1840692847"/>
        <c:scaling>
          <c:orientation val="minMax"/>
        </c:scaling>
        <c:delete val="1"/>
        <c:axPos val="l"/>
        <c:majorGridlines>
          <c:spPr>
            <a:ln w="9525" cap="flat" cmpd="sng" algn="ctr">
              <a:solidFill>
                <a:schemeClr val="bg1">
                  <a:lumMod val="95000"/>
                </a:schemeClr>
              </a:solidFill>
              <a:round/>
            </a:ln>
            <a:effectLst/>
          </c:spPr>
        </c:majorGridlines>
        <c:numFmt formatCode="0.0%;\(0.0%\);\-" sourceLinked="1"/>
        <c:majorTickMark val="none"/>
        <c:minorTickMark val="none"/>
        <c:tickLblPos val="nextTo"/>
        <c:crossAx val="184069332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1" i="0" u="none" strike="noStrike" kern="1200" spc="0" baseline="0">
                <a:solidFill>
                  <a:schemeClr val="tx1"/>
                </a:solidFill>
                <a:latin typeface="+mn-lt"/>
                <a:ea typeface="+mn-ea"/>
                <a:cs typeface="+mn-cs"/>
              </a:defRPr>
            </a:pPr>
            <a:r>
              <a:rPr lang="en-IN" sz="1400" b="1"/>
              <a:t>Cash</a:t>
            </a:r>
            <a:r>
              <a:rPr lang="en-IN" sz="1400" b="1" baseline="0"/>
              <a:t> Flow Analysis </a:t>
            </a:r>
            <a:endParaRPr lang="en-IN" sz="1400" b="1"/>
          </a:p>
        </c:rich>
      </c:tx>
      <c:overlay val="0"/>
      <c:spPr>
        <a:noFill/>
        <a:ln>
          <a:noFill/>
        </a:ln>
        <a:effectLst/>
      </c:spPr>
      <c:txPr>
        <a:bodyPr rot="0" spcFirstLastPara="1" vertOverflow="ellipsis" vert="horz" wrap="square" anchor="ctr" anchorCtr="1"/>
        <a:lstStyle/>
        <a:p>
          <a:pPr>
            <a:defRPr lang="en-US" sz="1400" b="1" i="0" u="none" strike="noStrike" kern="1200" spc="0" baseline="0">
              <a:solidFill>
                <a:schemeClr val="tx1"/>
              </a:solidFill>
              <a:latin typeface="+mn-lt"/>
              <a:ea typeface="+mn-ea"/>
              <a:cs typeface="+mn-cs"/>
            </a:defRPr>
          </a:pPr>
          <a:endParaRPr lang="en-IN"/>
        </a:p>
      </c:txPr>
    </c:title>
    <c:autoTitleDeleted val="0"/>
    <c:plotArea>
      <c:layout>
        <c:manualLayout>
          <c:layoutTarget val="inner"/>
          <c:xMode val="edge"/>
          <c:yMode val="edge"/>
          <c:x val="7.7046598288747895E-2"/>
          <c:y val="0.10864034534679315"/>
          <c:w val="0.85637291686102002"/>
          <c:h val="0.78748117874811785"/>
        </c:manualLayout>
      </c:layout>
      <c:barChart>
        <c:barDir val="col"/>
        <c:grouping val="clustered"/>
        <c:varyColors val="0"/>
        <c:ser>
          <c:idx val="0"/>
          <c:order val="0"/>
          <c:tx>
            <c:v>CFO</c:v>
          </c:tx>
          <c:spPr>
            <a:solidFill>
              <a:schemeClr val="accent1">
                <a:lumMod val="60000"/>
                <a:lumOff val="40000"/>
              </a:schemeClr>
            </a:solidFill>
            <a:ln>
              <a:noFill/>
            </a:ln>
            <a:effectLst/>
          </c:spPr>
          <c:invertIfNegative val="0"/>
          <c:dPt>
            <c:idx val="3"/>
            <c:invertIfNegative val="0"/>
            <c:bubble3D val="0"/>
            <c:spPr>
              <a:solidFill>
                <a:schemeClr val="accent1">
                  <a:lumMod val="75000"/>
                </a:schemeClr>
              </a:solidFill>
              <a:ln>
                <a:noFill/>
              </a:ln>
              <a:effectLst/>
            </c:spPr>
            <c:extLst>
              <c:ext xmlns:c16="http://schemas.microsoft.com/office/drawing/2014/chart" uri="{C3380CC4-5D6E-409C-BE32-E72D297353CC}">
                <c16:uniqueId val="{00000003-CD26-4F2A-8504-89546F149495}"/>
              </c:ext>
            </c:extLst>
          </c:dPt>
          <c:dPt>
            <c:idx val="4"/>
            <c:invertIfNegative val="0"/>
            <c:bubble3D val="0"/>
            <c:spPr>
              <a:solidFill>
                <a:schemeClr val="accent1">
                  <a:lumMod val="75000"/>
                </a:schemeClr>
              </a:solidFill>
              <a:ln>
                <a:noFill/>
              </a:ln>
              <a:effectLst/>
            </c:spPr>
            <c:extLst>
              <c:ext xmlns:c16="http://schemas.microsoft.com/office/drawing/2014/chart" uri="{C3380CC4-5D6E-409C-BE32-E72D297353CC}">
                <c16:uniqueId val="{00000004-CD26-4F2A-8504-89546F149495}"/>
              </c:ext>
            </c:extLst>
          </c:dPt>
          <c:dLbls>
            <c:dLbl>
              <c:idx val="2"/>
              <c:layout>
                <c:manualLayout>
                  <c:x val="3.4571454159748973E-3"/>
                  <c:y val="-3.3407114352289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D26-4F2A-8504-89546F149495}"/>
                </c:ext>
              </c:extLst>
            </c:dLbl>
            <c:dLbl>
              <c:idx val="3"/>
              <c:layout>
                <c:manualLayout>
                  <c:x val="-5.1831875896260152E-3"/>
                  <c:y val="-3.07199671804319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D26-4F2A-8504-89546F149495}"/>
                </c:ext>
              </c:extLst>
            </c:dLbl>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Dashboard!$I$13:$Q$13</c:f>
              <c:numCache>
                <c:formatCode>\₹\ #,##0;\(#,##0\);\-</c:formatCode>
                <c:ptCount val="9"/>
                <c:pt idx="0">
                  <c:v>2236</c:v>
                </c:pt>
                <c:pt idx="1">
                  <c:v>2737</c:v>
                </c:pt>
                <c:pt idx="2">
                  <c:v>3392</c:v>
                </c:pt>
                <c:pt idx="3">
                  <c:v>4175</c:v>
                </c:pt>
                <c:pt idx="4">
                  <c:v>2105.6</c:v>
                </c:pt>
                <c:pt idx="5">
                  <c:v>2936</c:v>
                </c:pt>
                <c:pt idx="6">
                  <c:v>2602.9218090157533</c:v>
                </c:pt>
                <c:pt idx="7">
                  <c:v>3028.5425455235136</c:v>
                </c:pt>
                <c:pt idx="8">
                  <c:v>3480.8104333328838</c:v>
                </c:pt>
              </c:numCache>
            </c:numRef>
          </c:val>
          <c:extLst>
            <c:ext xmlns:c16="http://schemas.microsoft.com/office/drawing/2014/chart" uri="{C3380CC4-5D6E-409C-BE32-E72D297353CC}">
              <c16:uniqueId val="{00000000-CD26-4F2A-8504-89546F149495}"/>
            </c:ext>
          </c:extLst>
        </c:ser>
        <c:ser>
          <c:idx val="1"/>
          <c:order val="1"/>
          <c:tx>
            <c:v>CapEx</c:v>
          </c:tx>
          <c:spPr>
            <a:solidFill>
              <a:schemeClr val="accent2"/>
            </a:solidFill>
            <a:ln>
              <a:noFill/>
            </a:ln>
            <a:effectLst/>
          </c:spPr>
          <c:invertIfNegative val="0"/>
          <c:dPt>
            <c:idx val="3"/>
            <c:invertIfNegative val="0"/>
            <c:bubble3D val="0"/>
            <c:spPr>
              <a:solidFill>
                <a:schemeClr val="accent2">
                  <a:lumMod val="50000"/>
                </a:schemeClr>
              </a:solidFill>
              <a:ln>
                <a:noFill/>
              </a:ln>
              <a:effectLst/>
            </c:spPr>
            <c:extLst>
              <c:ext xmlns:c16="http://schemas.microsoft.com/office/drawing/2014/chart" uri="{C3380CC4-5D6E-409C-BE32-E72D297353CC}">
                <c16:uniqueId val="{00000005-CD26-4F2A-8504-89546F149495}"/>
              </c:ext>
            </c:extLst>
          </c:dPt>
          <c:dPt>
            <c:idx val="4"/>
            <c:invertIfNegative val="0"/>
            <c:bubble3D val="0"/>
            <c:spPr>
              <a:solidFill>
                <a:schemeClr val="accent2">
                  <a:lumMod val="50000"/>
                </a:schemeClr>
              </a:solidFill>
              <a:ln>
                <a:noFill/>
              </a:ln>
              <a:effectLst/>
            </c:spPr>
            <c:extLst>
              <c:ext xmlns:c16="http://schemas.microsoft.com/office/drawing/2014/chart" uri="{C3380CC4-5D6E-409C-BE32-E72D297353CC}">
                <c16:uniqueId val="{00000006-CD26-4F2A-8504-89546F149495}"/>
              </c:ext>
            </c:extLst>
          </c:dPt>
          <c:dLbls>
            <c:spPr>
              <a:noFill/>
              <a:ln>
                <a:noFill/>
              </a:ln>
              <a:effectLst/>
            </c:spPr>
            <c:txPr>
              <a:bodyPr rot="0" spcFirstLastPara="1" vertOverflow="ellipsis" vert="horz" wrap="square" lIns="38100" tIns="19050" rIns="38100" bIns="19050" anchor="ctr" anchorCtr="1">
                <a:spAutoFit/>
              </a:bodyPr>
              <a:lstStyle/>
              <a:p>
                <a:pPr>
                  <a:defRPr lang="en-US" sz="10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Dashboard!$I$14:$Q$14</c:f>
              <c:numCache>
                <c:formatCode>\₹\ #,##0;\(#,##0\);\-</c:formatCode>
                <c:ptCount val="9"/>
                <c:pt idx="0">
                  <c:v>-735</c:v>
                </c:pt>
                <c:pt idx="1">
                  <c:v>-550</c:v>
                </c:pt>
                <c:pt idx="2">
                  <c:v>-1371</c:v>
                </c:pt>
                <c:pt idx="3">
                  <c:v>-1883</c:v>
                </c:pt>
                <c:pt idx="4">
                  <c:v>-1506.4</c:v>
                </c:pt>
                <c:pt idx="5">
                  <c:v>-2009</c:v>
                </c:pt>
                <c:pt idx="6">
                  <c:v>-1555.5540000000001</c:v>
                </c:pt>
                <c:pt idx="7">
                  <c:v>-1603.3317300000003</c:v>
                </c:pt>
                <c:pt idx="8">
                  <c:v>-1512.6818206500002</c:v>
                </c:pt>
              </c:numCache>
            </c:numRef>
          </c:val>
          <c:extLst>
            <c:ext xmlns:c16="http://schemas.microsoft.com/office/drawing/2014/chart" uri="{C3380CC4-5D6E-409C-BE32-E72D297353CC}">
              <c16:uniqueId val="{00000001-CD26-4F2A-8504-89546F149495}"/>
            </c:ext>
          </c:extLst>
        </c:ser>
        <c:dLbls>
          <c:showLegendKey val="0"/>
          <c:showVal val="0"/>
          <c:showCatName val="0"/>
          <c:showSerName val="0"/>
          <c:showPercent val="0"/>
          <c:showBubbleSize val="0"/>
        </c:dLbls>
        <c:gapWidth val="60"/>
        <c:overlap val="-27"/>
        <c:axId val="47885167"/>
        <c:axId val="47885647"/>
      </c:barChart>
      <c:lineChart>
        <c:grouping val="standard"/>
        <c:varyColors val="0"/>
        <c:ser>
          <c:idx val="2"/>
          <c:order val="2"/>
          <c:tx>
            <c:v>FCF</c:v>
          </c:tx>
          <c:spPr>
            <a:ln w="28575" cap="rnd">
              <a:solidFill>
                <a:srgbClr val="25B190"/>
              </a:solidFill>
              <a:round/>
            </a:ln>
            <a:effectLst/>
          </c:spPr>
          <c:marker>
            <c:symbol val="circle"/>
            <c:size val="7"/>
            <c:spPr>
              <a:solidFill>
                <a:schemeClr val="accent3"/>
              </a:solidFill>
              <a:ln w="9525">
                <a:solidFill>
                  <a:srgbClr val="25B190"/>
                </a:solidFill>
              </a:ln>
              <a:effectLst/>
            </c:spPr>
          </c:marker>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Dashboard!$I$15:$Q$15</c:f>
              <c:numCache>
                <c:formatCode>\₹\ #,##0;\(#,##0\);\-</c:formatCode>
                <c:ptCount val="9"/>
                <c:pt idx="0">
                  <c:v>1505</c:v>
                </c:pt>
                <c:pt idx="1">
                  <c:v>2197</c:v>
                </c:pt>
                <c:pt idx="2">
                  <c:v>2028</c:v>
                </c:pt>
                <c:pt idx="3">
                  <c:v>2296</c:v>
                </c:pt>
                <c:pt idx="4">
                  <c:v>599.19999999999982</c:v>
                </c:pt>
                <c:pt idx="5">
                  <c:v>932</c:v>
                </c:pt>
                <c:pt idx="6">
                  <c:v>1047.3678090157532</c:v>
                </c:pt>
                <c:pt idx="7">
                  <c:v>1425.2108155235132</c:v>
                </c:pt>
                <c:pt idx="8">
                  <c:v>1968.1286126828836</c:v>
                </c:pt>
              </c:numCache>
            </c:numRef>
          </c:val>
          <c:smooth val="0"/>
          <c:extLst>
            <c:ext xmlns:c16="http://schemas.microsoft.com/office/drawing/2014/chart" uri="{C3380CC4-5D6E-409C-BE32-E72D297353CC}">
              <c16:uniqueId val="{00000002-CD26-4F2A-8504-89546F149495}"/>
            </c:ext>
          </c:extLst>
        </c:ser>
        <c:dLbls>
          <c:showLegendKey val="0"/>
          <c:showVal val="0"/>
          <c:showCatName val="0"/>
          <c:showSerName val="0"/>
          <c:showPercent val="0"/>
          <c:showBubbleSize val="0"/>
        </c:dLbls>
        <c:marker val="1"/>
        <c:smooth val="0"/>
        <c:axId val="47889967"/>
        <c:axId val="47889487"/>
      </c:lineChart>
      <c:catAx>
        <c:axId val="47885167"/>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t" anchorCtr="1"/>
          <a:lstStyle/>
          <a:p>
            <a:pPr>
              <a:defRPr lang="en-US" sz="1000" b="1" i="0" u="none" strike="noStrike" kern="1200" baseline="0">
                <a:solidFill>
                  <a:schemeClr val="tx1"/>
                </a:solidFill>
                <a:latin typeface="+mn-lt"/>
                <a:ea typeface="+mn-ea"/>
                <a:cs typeface="+mn-cs"/>
              </a:defRPr>
            </a:pPr>
            <a:endParaRPr lang="en-US"/>
          </a:p>
        </c:txPr>
        <c:crossAx val="47885647"/>
        <c:crosses val="autoZero"/>
        <c:auto val="1"/>
        <c:lblAlgn val="ctr"/>
        <c:lblOffset val="100"/>
        <c:noMultiLvlLbl val="0"/>
      </c:catAx>
      <c:valAx>
        <c:axId val="47885647"/>
        <c:scaling>
          <c:orientation val="minMax"/>
        </c:scaling>
        <c:delete val="0"/>
        <c:axPos val="l"/>
        <c:majorGridlines>
          <c:spPr>
            <a:ln w="9525" cap="flat" cmpd="sng" algn="ctr">
              <a:solidFill>
                <a:srgbClr val="F2F2F2"/>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47885167"/>
        <c:crosses val="autoZero"/>
        <c:crossBetween val="between"/>
      </c:valAx>
      <c:valAx>
        <c:axId val="47889487"/>
        <c:scaling>
          <c:orientation val="minMax"/>
        </c:scaling>
        <c:delete val="0"/>
        <c:axPos val="r"/>
        <c:numFmt formatCode="\₹\ #,##0;\(#,##0\);\-" sourceLinked="1"/>
        <c:majorTickMark val="out"/>
        <c:minorTickMark val="none"/>
        <c:tickLblPos val="nextTo"/>
        <c:spPr>
          <a:noFill/>
          <a:ln>
            <a:noFill/>
          </a:ln>
          <a:effectLst/>
        </c:spPr>
        <c:txPr>
          <a:bodyPr rot="-60000000" spcFirstLastPara="1" vertOverflow="ellipsis" vert="horz" wrap="square" anchor="ctr" anchorCtr="1"/>
          <a:lstStyle/>
          <a:p>
            <a:pPr>
              <a:defRPr lang="en-US" sz="1000" b="0" i="0" u="none" strike="noStrike" kern="1200" baseline="0">
                <a:solidFill>
                  <a:schemeClr val="tx1"/>
                </a:solidFill>
                <a:latin typeface="+mn-lt"/>
                <a:ea typeface="+mn-ea"/>
                <a:cs typeface="+mn-cs"/>
              </a:defRPr>
            </a:pPr>
            <a:endParaRPr lang="en-US"/>
          </a:p>
        </c:txPr>
        <c:crossAx val="47889967"/>
        <c:crosses val="max"/>
        <c:crossBetween val="between"/>
      </c:valAx>
      <c:catAx>
        <c:axId val="47889967"/>
        <c:scaling>
          <c:orientation val="minMax"/>
        </c:scaling>
        <c:delete val="1"/>
        <c:axPos val="b"/>
        <c:numFmt formatCode="General" sourceLinked="1"/>
        <c:majorTickMark val="out"/>
        <c:minorTickMark val="none"/>
        <c:tickLblPos val="nextTo"/>
        <c:crossAx val="47889487"/>
        <c:crosses val="autoZero"/>
        <c:auto val="1"/>
        <c:lblAlgn val="ctr"/>
        <c:lblOffset val="100"/>
        <c:noMultiLvlLbl val="0"/>
      </c:catAx>
      <c:spPr>
        <a:noFill/>
        <a:ln>
          <a:noFill/>
        </a:ln>
        <a:effectLst/>
      </c:spPr>
    </c:plotArea>
    <c:legend>
      <c:legendPos val="t"/>
      <c:layout>
        <c:manualLayout>
          <c:xMode val="edge"/>
          <c:yMode val="edge"/>
          <c:x val="0.72933856948647946"/>
          <c:y val="3.2716765047159979E-2"/>
          <c:w val="0.26090616648221865"/>
          <c:h val="5.1249909128822817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lgn="ct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i="0" u="none" strike="noStrike" baseline="0">
                <a:solidFill>
                  <a:schemeClr val="tx1"/>
                </a:solidFill>
              </a:rPr>
              <a:t>Efficiency Ratios (ROE vs ROCE)</a:t>
            </a:r>
            <a:endParaRPr lang="en-IN" b="1">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IN"/>
        </a:p>
      </c:txPr>
    </c:title>
    <c:autoTitleDeleted val="0"/>
    <c:plotArea>
      <c:layout/>
      <c:lineChart>
        <c:grouping val="standard"/>
        <c:varyColors val="0"/>
        <c:ser>
          <c:idx val="0"/>
          <c:order val="0"/>
          <c:tx>
            <c:v>ROE (%)</c:v>
          </c:tx>
          <c:spPr>
            <a:ln w="28575" cap="rnd">
              <a:solidFill>
                <a:schemeClr val="accent1"/>
              </a:solidFill>
              <a:round/>
            </a:ln>
            <a:effectLst/>
          </c:spPr>
          <c:marker>
            <c:symbol val="square"/>
            <c:size val="5"/>
            <c:spPr>
              <a:solidFill>
                <a:schemeClr val="accent1"/>
              </a:solidFill>
              <a:ln w="9525">
                <a:solidFill>
                  <a:schemeClr val="accent1"/>
                </a:solidFill>
              </a:ln>
              <a:effectLst/>
            </c:spPr>
          </c:marker>
          <c:dPt>
            <c:idx val="3"/>
            <c:marker>
              <c:symbol val="square"/>
              <c:size val="5"/>
              <c:spPr>
                <a:solidFill>
                  <a:schemeClr val="accent1"/>
                </a:solidFill>
                <a:ln w="9525">
                  <a:solidFill>
                    <a:schemeClr val="accent1"/>
                  </a:solidFill>
                </a:ln>
                <a:effectLst/>
              </c:spPr>
            </c:marker>
            <c:bubble3D val="0"/>
            <c:spPr>
              <a:ln w="28575" cap="rnd">
                <a:solidFill>
                  <a:schemeClr val="bg1">
                    <a:lumMod val="50000"/>
                  </a:schemeClr>
                </a:solidFill>
                <a:round/>
              </a:ln>
              <a:effectLst/>
            </c:spPr>
            <c:extLst>
              <c:ext xmlns:c16="http://schemas.microsoft.com/office/drawing/2014/chart" uri="{C3380CC4-5D6E-409C-BE32-E72D297353CC}">
                <c16:uniqueId val="{00000002-EAA4-461B-8117-05DCAF5A866D}"/>
              </c:ext>
            </c:extLst>
          </c:dPt>
          <c:dPt>
            <c:idx val="4"/>
            <c:marker>
              <c:symbol val="square"/>
              <c:size val="5"/>
              <c:spPr>
                <a:solidFill>
                  <a:schemeClr val="accent1"/>
                </a:solidFill>
                <a:ln w="9525">
                  <a:solidFill>
                    <a:schemeClr val="accent1"/>
                  </a:solidFill>
                </a:ln>
                <a:effectLst/>
              </c:spPr>
            </c:marker>
            <c:bubble3D val="0"/>
            <c:spPr>
              <a:ln w="28575" cap="rnd">
                <a:solidFill>
                  <a:schemeClr val="accent6">
                    <a:lumMod val="75000"/>
                  </a:schemeClr>
                </a:solidFill>
                <a:round/>
              </a:ln>
              <a:effectLst/>
            </c:spPr>
            <c:extLst>
              <c:ext xmlns:c16="http://schemas.microsoft.com/office/drawing/2014/chart" uri="{C3380CC4-5D6E-409C-BE32-E72D297353CC}">
                <c16:uniqueId val="{00000005-EAA4-461B-8117-05DCAF5A866D}"/>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Dashboard!$I$20:$Q$20</c:f>
              <c:numCache>
                <c:formatCode>0.0%;\(0.0%\);\-</c:formatCode>
                <c:ptCount val="9"/>
                <c:pt idx="0" formatCode="0.0%">
                  <c:v>1.0883864337101747</c:v>
                </c:pt>
                <c:pt idx="1">
                  <c:v>0.97234648230988208</c:v>
                </c:pt>
                <c:pt idx="2">
                  <c:v>1.2196014640097601</c:v>
                </c:pt>
                <c:pt idx="3">
                  <c:v>1.1775449101796407</c:v>
                </c:pt>
                <c:pt idx="4">
                  <c:v>0.77117647058823524</c:v>
                </c:pt>
                <c:pt idx="5">
                  <c:v>0.80495506436725772</c:v>
                </c:pt>
                <c:pt idx="6">
                  <c:v>0.66423146595886806</c:v>
                </c:pt>
                <c:pt idx="7">
                  <c:v>0.64410245593348925</c:v>
                </c:pt>
                <c:pt idx="8">
                  <c:v>0.63718271324088649</c:v>
                </c:pt>
              </c:numCache>
            </c:numRef>
          </c:val>
          <c:smooth val="0"/>
          <c:extLst>
            <c:ext xmlns:c16="http://schemas.microsoft.com/office/drawing/2014/chart" uri="{C3380CC4-5D6E-409C-BE32-E72D297353CC}">
              <c16:uniqueId val="{00000000-EAA4-461B-8117-05DCAF5A866D}"/>
            </c:ext>
          </c:extLst>
        </c:ser>
        <c:ser>
          <c:idx val="1"/>
          <c:order val="1"/>
          <c:tx>
            <c:v>ROCE (%)</c:v>
          </c:tx>
          <c:spPr>
            <a:ln w="28575" cap="rnd">
              <a:solidFill>
                <a:srgbClr val="27AE60"/>
              </a:solidFill>
              <a:round/>
            </a:ln>
            <a:effectLst/>
          </c:spPr>
          <c:marker>
            <c:symbol val="square"/>
            <c:size val="5"/>
            <c:spPr>
              <a:solidFill>
                <a:srgbClr val="27AE60"/>
              </a:solidFill>
              <a:ln w="9525">
                <a:solidFill>
                  <a:srgbClr val="27AE60"/>
                </a:solidFill>
              </a:ln>
              <a:effectLst/>
            </c:spPr>
          </c:marker>
          <c:dPt>
            <c:idx val="3"/>
            <c:marker>
              <c:symbol val="square"/>
              <c:size val="5"/>
              <c:spPr>
                <a:solidFill>
                  <a:srgbClr val="27AE60"/>
                </a:solidFill>
                <a:ln w="9525">
                  <a:solidFill>
                    <a:srgbClr val="27AE60"/>
                  </a:solidFill>
                </a:ln>
                <a:effectLst/>
              </c:spPr>
            </c:marker>
            <c:bubble3D val="0"/>
            <c:spPr>
              <a:ln w="28575" cap="rnd">
                <a:solidFill>
                  <a:schemeClr val="bg1">
                    <a:lumMod val="50000"/>
                  </a:schemeClr>
                </a:solidFill>
                <a:round/>
              </a:ln>
              <a:effectLst/>
            </c:spPr>
            <c:extLst>
              <c:ext xmlns:c16="http://schemas.microsoft.com/office/drawing/2014/chart" uri="{C3380CC4-5D6E-409C-BE32-E72D297353CC}">
                <c16:uniqueId val="{00000004-EAA4-461B-8117-05DCAF5A866D}"/>
              </c:ext>
            </c:extLst>
          </c:dPt>
          <c:dPt>
            <c:idx val="4"/>
            <c:marker>
              <c:symbol val="square"/>
              <c:size val="5"/>
              <c:spPr>
                <a:solidFill>
                  <a:srgbClr val="27AE60"/>
                </a:solidFill>
                <a:ln w="9525">
                  <a:solidFill>
                    <a:srgbClr val="27AE60"/>
                  </a:solidFill>
                </a:ln>
                <a:effectLst/>
              </c:spPr>
            </c:marker>
            <c:bubble3D val="0"/>
            <c:spPr>
              <a:ln w="28575" cap="rnd">
                <a:solidFill>
                  <a:schemeClr val="accent6">
                    <a:lumMod val="75000"/>
                  </a:schemeClr>
                </a:solidFill>
                <a:round/>
              </a:ln>
              <a:effectLst/>
            </c:spPr>
            <c:extLst>
              <c:ext xmlns:c16="http://schemas.microsoft.com/office/drawing/2014/chart" uri="{C3380CC4-5D6E-409C-BE32-E72D297353CC}">
                <c16:uniqueId val="{00000006-EAA4-461B-8117-05DCAF5A866D}"/>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Dashboard!$I$4:$Q$4</c:f>
              <c:strCache>
                <c:ptCount val="9"/>
                <c:pt idx="0">
                  <c:v>FY2021</c:v>
                </c:pt>
                <c:pt idx="1">
                  <c:v>FY2022</c:v>
                </c:pt>
                <c:pt idx="2">
                  <c:v>FY2023</c:v>
                </c:pt>
                <c:pt idx="3">
                  <c:v>FY2024 (15m)</c:v>
                </c:pt>
                <c:pt idx="4">
                  <c:v>FY2024 (12M Adj)</c:v>
                </c:pt>
                <c:pt idx="5">
                  <c:v>FY2025</c:v>
                </c:pt>
                <c:pt idx="6">
                  <c:v>FY2026</c:v>
                </c:pt>
                <c:pt idx="7">
                  <c:v>FY2027</c:v>
                </c:pt>
                <c:pt idx="8">
                  <c:v>FY2028</c:v>
                </c:pt>
              </c:strCache>
            </c:strRef>
          </c:cat>
          <c:val>
            <c:numRef>
              <c:f>Dashboard!$I$21:$Q$21</c:f>
              <c:numCache>
                <c:formatCode>0.0%;\(0.0%\);\-</c:formatCode>
                <c:ptCount val="9"/>
                <c:pt idx="0">
                  <c:v>0.38511051736701479</c:v>
                </c:pt>
                <c:pt idx="1">
                  <c:v>0.36785833611760776</c:v>
                </c:pt>
                <c:pt idx="2">
                  <c:v>0.45016148791624905</c:v>
                </c:pt>
                <c:pt idx="3">
                  <c:v>0.50128290411479615</c:v>
                </c:pt>
                <c:pt idx="4">
                  <c:v>0.39941744870457763</c:v>
                </c:pt>
                <c:pt idx="5">
                  <c:v>0.34331385913664397</c:v>
                </c:pt>
                <c:pt idx="6">
                  <c:v>0.36921568556621165</c:v>
                </c:pt>
                <c:pt idx="7">
                  <c:v>0.43486777605255</c:v>
                </c:pt>
                <c:pt idx="8">
                  <c:v>0.51947993023601358</c:v>
                </c:pt>
              </c:numCache>
            </c:numRef>
          </c:val>
          <c:smooth val="0"/>
          <c:extLst>
            <c:ext xmlns:c16="http://schemas.microsoft.com/office/drawing/2014/chart" uri="{C3380CC4-5D6E-409C-BE32-E72D297353CC}">
              <c16:uniqueId val="{00000001-EAA4-461B-8117-05DCAF5A866D}"/>
            </c:ext>
          </c:extLst>
        </c:ser>
        <c:dLbls>
          <c:showLegendKey val="0"/>
          <c:showVal val="0"/>
          <c:showCatName val="0"/>
          <c:showSerName val="0"/>
          <c:showPercent val="0"/>
          <c:showBubbleSize val="0"/>
        </c:dLbls>
        <c:marker val="1"/>
        <c:smooth val="0"/>
        <c:axId val="47901487"/>
        <c:axId val="47907727"/>
      </c:lineChart>
      <c:catAx>
        <c:axId val="479014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47907727"/>
        <c:crosses val="autoZero"/>
        <c:auto val="1"/>
        <c:lblAlgn val="ctr"/>
        <c:lblOffset val="100"/>
        <c:noMultiLvlLbl val="0"/>
      </c:catAx>
      <c:valAx>
        <c:axId val="47907727"/>
        <c:scaling>
          <c:orientation val="minMax"/>
        </c:scaling>
        <c:delete val="1"/>
        <c:axPos val="l"/>
        <c:majorGridlines>
          <c:spPr>
            <a:ln w="9525" cap="flat" cmpd="sng" algn="ctr">
              <a:solidFill>
                <a:srgbClr val="F2F2F2"/>
              </a:solidFill>
              <a:round/>
            </a:ln>
            <a:effectLst/>
          </c:spPr>
        </c:majorGridlines>
        <c:numFmt formatCode="0.0%" sourceLinked="1"/>
        <c:majorTickMark val="none"/>
        <c:minorTickMark val="none"/>
        <c:tickLblPos val="nextTo"/>
        <c:crossAx val="479014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6.png"/><Relationship Id="rId3" Type="http://schemas.openxmlformats.org/officeDocument/2006/relationships/image" Target="../media/image2.png"/><Relationship Id="rId7" Type="http://schemas.openxmlformats.org/officeDocument/2006/relationships/image" Target="../media/image5.png"/><Relationship Id="rId2" Type="http://schemas.microsoft.com/office/2007/relationships/hdphoto" Target="../media/hdphoto1.wdp"/><Relationship Id="rId1" Type="http://schemas.openxmlformats.org/officeDocument/2006/relationships/image" Target="../media/image1.png"/><Relationship Id="rId6" Type="http://schemas.openxmlformats.org/officeDocument/2006/relationships/image" Target="../media/image4.png"/><Relationship Id="rId5" Type="http://schemas.openxmlformats.org/officeDocument/2006/relationships/image" Target="../media/image3.png"/><Relationship Id="rId4" Type="http://schemas.microsoft.com/office/2007/relationships/hdphoto" Target="../media/hdphoto2.wdp"/><Relationship Id="rId9" Type="http://schemas.openxmlformats.org/officeDocument/2006/relationships/image" Target="../media/image7.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297180</xdr:colOff>
      <xdr:row>1</xdr:row>
      <xdr:rowOff>76200</xdr:rowOff>
    </xdr:from>
    <xdr:to>
      <xdr:col>5</xdr:col>
      <xdr:colOff>414904</xdr:colOff>
      <xdr:row>6</xdr:row>
      <xdr:rowOff>910</xdr:rowOff>
    </xdr:to>
    <xdr:pic>
      <xdr:nvPicPr>
        <xdr:cNvPr id="5" name="Picture 4">
          <a:extLst>
            <a:ext uri="{FF2B5EF4-FFF2-40B4-BE49-F238E27FC236}">
              <a16:creationId xmlns:a16="http://schemas.microsoft.com/office/drawing/2014/main" id="{070CE9A1-1881-B192-E8D2-B025963C1443}"/>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colorTemperature colorTemp="8800"/>
                  </a14:imgEffect>
                  <a14:imgEffect>
                    <a14:saturation sat="400000"/>
                  </a14:imgEffect>
                </a14:imgLayer>
              </a14:imgProps>
            </a:ext>
            <a:ext uri="{28A0092B-C50C-407E-A947-70E740481C1C}">
              <a14:useLocalDpi xmlns:a14="http://schemas.microsoft.com/office/drawing/2010/main" val="0"/>
            </a:ext>
          </a:extLst>
        </a:blip>
        <a:stretch>
          <a:fillRect/>
        </a:stretch>
      </xdr:blipFill>
      <xdr:spPr>
        <a:xfrm>
          <a:off x="2247900" y="457200"/>
          <a:ext cx="3048000" cy="838200"/>
        </a:xfrm>
        <a:prstGeom prst="rect">
          <a:avLst/>
        </a:prstGeom>
      </xdr:spPr>
    </xdr:pic>
    <xdr:clientData/>
  </xdr:twoCellAnchor>
  <xdr:twoCellAnchor editAs="oneCell">
    <xdr:from>
      <xdr:col>1</xdr:col>
      <xdr:colOff>331470</xdr:colOff>
      <xdr:row>1</xdr:row>
      <xdr:rowOff>0</xdr:rowOff>
    </xdr:from>
    <xdr:to>
      <xdr:col>2</xdr:col>
      <xdr:colOff>38100</xdr:colOff>
      <xdr:row>6</xdr:row>
      <xdr:rowOff>83820</xdr:rowOff>
    </xdr:to>
    <xdr:pic>
      <xdr:nvPicPr>
        <xdr:cNvPr id="7" name="Picture 6">
          <a:extLst>
            <a:ext uri="{FF2B5EF4-FFF2-40B4-BE49-F238E27FC236}">
              <a16:creationId xmlns:a16="http://schemas.microsoft.com/office/drawing/2014/main" id="{0421EC9B-A9C6-3D2D-DA48-4CAF9CEA6FE5}"/>
            </a:ext>
          </a:extLst>
        </xdr:cNvPr>
        <xdr:cNvPicPr>
          <a:picLocks noChangeAspect="1"/>
        </xdr:cNvPicPr>
      </xdr:nvPicPr>
      <xdr:blipFill rotWithShape="1">
        <a:blip xmlns:r="http://schemas.openxmlformats.org/officeDocument/2006/relationships" r:embed="rId3">
          <a:extLst>
            <a:ext uri="{BEBA8EAE-BF5A-486C-A8C5-ECC9F3942E4B}">
              <a14:imgProps xmlns:a14="http://schemas.microsoft.com/office/drawing/2010/main">
                <a14:imgLayer r:embed="rId4">
                  <a14:imgEffect>
                    <a14:saturation sat="400000"/>
                  </a14:imgEffect>
                </a14:imgLayer>
              </a14:imgProps>
            </a:ext>
            <a:ext uri="{28A0092B-C50C-407E-A947-70E740481C1C}">
              <a14:useLocalDpi xmlns:a14="http://schemas.microsoft.com/office/drawing/2010/main" val="0"/>
            </a:ext>
          </a:extLst>
        </a:blip>
        <a:srcRect b="33333"/>
        <a:stretch>
          <a:fillRect/>
        </a:stretch>
      </xdr:blipFill>
      <xdr:spPr>
        <a:xfrm>
          <a:off x="491490" y="381000"/>
          <a:ext cx="1497330" cy="998220"/>
        </a:xfrm>
        <a:prstGeom prst="rect">
          <a:avLst/>
        </a:prstGeom>
      </xdr:spPr>
    </xdr:pic>
    <xdr:clientData/>
  </xdr:twoCellAnchor>
  <xdr:twoCellAnchor>
    <xdr:from>
      <xdr:col>6</xdr:col>
      <xdr:colOff>490388</xdr:colOff>
      <xdr:row>0</xdr:row>
      <xdr:rowOff>205740</xdr:rowOff>
    </xdr:from>
    <xdr:to>
      <xdr:col>13</xdr:col>
      <xdr:colOff>0</xdr:colOff>
      <xdr:row>3</xdr:row>
      <xdr:rowOff>7620</xdr:rowOff>
    </xdr:to>
    <xdr:sp macro="" textlink="">
      <xdr:nvSpPr>
        <xdr:cNvPr id="8" name="TextBox 7">
          <a:extLst>
            <a:ext uri="{FF2B5EF4-FFF2-40B4-BE49-F238E27FC236}">
              <a16:creationId xmlns:a16="http://schemas.microsoft.com/office/drawing/2014/main" id="{3F63AC64-AEB7-F241-5E44-9763135EAA36}"/>
            </a:ext>
          </a:extLst>
        </xdr:cNvPr>
        <xdr:cNvSpPr txBox="1"/>
      </xdr:nvSpPr>
      <xdr:spPr>
        <a:xfrm>
          <a:off x="5974783" y="205740"/>
          <a:ext cx="4983980" cy="543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3200" b="1" i="0" u="none" strike="noStrike">
              <a:solidFill>
                <a:schemeClr val="tx2">
                  <a:lumMod val="50000"/>
                </a:schemeClr>
              </a:solidFill>
              <a:effectLst/>
              <a:latin typeface="+mn-lt"/>
              <a:ea typeface="+mn-ea"/>
              <a:cs typeface="+mn-cs"/>
            </a:rPr>
            <a:t>Nestlé'</a:t>
          </a:r>
          <a:r>
            <a:rPr lang="en-IN" sz="3200" b="1" i="0" u="none" strike="noStrike" baseline="0">
              <a:solidFill>
                <a:schemeClr val="tx2">
                  <a:lumMod val="50000"/>
                </a:schemeClr>
              </a:solidFill>
              <a:effectLst/>
              <a:latin typeface="+mn-lt"/>
              <a:ea typeface="+mn-ea"/>
              <a:cs typeface="+mn-cs"/>
            </a:rPr>
            <a:t> INDIA LIMITED</a:t>
          </a:r>
          <a:endParaRPr lang="en-IN" sz="3200" b="1" i="0" u="none" strike="noStrike">
            <a:solidFill>
              <a:schemeClr val="tx2">
                <a:lumMod val="50000"/>
              </a:schemeClr>
            </a:solidFill>
            <a:effectLst/>
            <a:latin typeface="+mn-lt"/>
            <a:ea typeface="+mn-ea"/>
            <a:cs typeface="+mn-cs"/>
          </a:endParaRPr>
        </a:p>
      </xdr:txBody>
    </xdr:sp>
    <xdr:clientData/>
  </xdr:twoCellAnchor>
  <xdr:twoCellAnchor>
    <xdr:from>
      <xdr:col>6</xdr:col>
      <xdr:colOff>490388</xdr:colOff>
      <xdr:row>2</xdr:row>
      <xdr:rowOff>148274</xdr:rowOff>
    </xdr:from>
    <xdr:to>
      <xdr:col>10</xdr:col>
      <xdr:colOff>250658</xdr:colOff>
      <xdr:row>5</xdr:row>
      <xdr:rowOff>0</xdr:rowOff>
    </xdr:to>
    <xdr:sp macro="" textlink="">
      <xdr:nvSpPr>
        <xdr:cNvPr id="9" name="TextBox 8">
          <a:extLst>
            <a:ext uri="{FF2B5EF4-FFF2-40B4-BE49-F238E27FC236}">
              <a16:creationId xmlns:a16="http://schemas.microsoft.com/office/drawing/2014/main" id="{A2AD8064-A9C2-493D-B980-B698EE25937F}"/>
            </a:ext>
          </a:extLst>
        </xdr:cNvPr>
        <xdr:cNvSpPr txBox="1"/>
      </xdr:nvSpPr>
      <xdr:spPr>
        <a:xfrm>
          <a:off x="5974783" y="709748"/>
          <a:ext cx="3028849" cy="393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2400" b="1" i="0" u="none" strike="noStrike">
              <a:solidFill>
                <a:schemeClr val="accent6">
                  <a:lumMod val="75000"/>
                </a:schemeClr>
              </a:solidFill>
              <a:effectLst/>
              <a:latin typeface="+mn-lt"/>
              <a:ea typeface="+mn-ea"/>
              <a:cs typeface="+mn-cs"/>
            </a:rPr>
            <a:t>FINANCIAL MODEL</a:t>
          </a:r>
        </a:p>
      </xdr:txBody>
    </xdr:sp>
    <xdr:clientData/>
  </xdr:twoCellAnchor>
  <xdr:twoCellAnchor editAs="oneCell">
    <xdr:from>
      <xdr:col>1</xdr:col>
      <xdr:colOff>81508</xdr:colOff>
      <xdr:row>11</xdr:row>
      <xdr:rowOff>39870</xdr:rowOff>
    </xdr:from>
    <xdr:to>
      <xdr:col>1</xdr:col>
      <xdr:colOff>438423</xdr:colOff>
      <xdr:row>12</xdr:row>
      <xdr:rowOff>0</xdr:rowOff>
    </xdr:to>
    <xdr:pic>
      <xdr:nvPicPr>
        <xdr:cNvPr id="11" name="Picture 10">
          <a:extLst>
            <a:ext uri="{FF2B5EF4-FFF2-40B4-BE49-F238E27FC236}">
              <a16:creationId xmlns:a16="http://schemas.microsoft.com/office/drawing/2014/main" id="{EDA6EA9D-5C4C-4675-9F4C-F33E7AE1E1E7}"/>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t="3891" r="64128" b="69404"/>
        <a:stretch>
          <a:fillRect/>
        </a:stretch>
      </xdr:blipFill>
      <xdr:spPr>
        <a:xfrm>
          <a:off x="239163" y="2336380"/>
          <a:ext cx="356915" cy="270186"/>
        </a:xfrm>
        <a:prstGeom prst="rect">
          <a:avLst/>
        </a:prstGeom>
      </xdr:spPr>
    </xdr:pic>
    <xdr:clientData/>
  </xdr:twoCellAnchor>
  <xdr:twoCellAnchor editAs="oneCell">
    <xdr:from>
      <xdr:col>1</xdr:col>
      <xdr:colOff>81508</xdr:colOff>
      <xdr:row>12</xdr:row>
      <xdr:rowOff>39869</xdr:rowOff>
    </xdr:from>
    <xdr:to>
      <xdr:col>1</xdr:col>
      <xdr:colOff>438423</xdr:colOff>
      <xdr:row>13</xdr:row>
      <xdr:rowOff>2355</xdr:rowOff>
    </xdr:to>
    <xdr:pic>
      <xdr:nvPicPr>
        <xdr:cNvPr id="12" name="Picture 11">
          <a:extLst>
            <a:ext uri="{FF2B5EF4-FFF2-40B4-BE49-F238E27FC236}">
              <a16:creationId xmlns:a16="http://schemas.microsoft.com/office/drawing/2014/main" id="{36E9E8BA-B26A-4F5E-BFFD-0820A6F7D9B1}"/>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30551" t="7031" r="33577" b="66264"/>
        <a:stretch>
          <a:fillRect/>
        </a:stretch>
      </xdr:blipFill>
      <xdr:spPr>
        <a:xfrm>
          <a:off x="240408" y="2650893"/>
          <a:ext cx="356915" cy="274320"/>
        </a:xfrm>
        <a:prstGeom prst="rect">
          <a:avLst/>
        </a:prstGeom>
      </xdr:spPr>
    </xdr:pic>
    <xdr:clientData/>
  </xdr:twoCellAnchor>
  <xdr:twoCellAnchor editAs="oneCell">
    <xdr:from>
      <xdr:col>1</xdr:col>
      <xdr:colOff>129844</xdr:colOff>
      <xdr:row>12</xdr:row>
      <xdr:rowOff>278075</xdr:rowOff>
    </xdr:from>
    <xdr:to>
      <xdr:col>1</xdr:col>
      <xdr:colOff>486759</xdr:colOff>
      <xdr:row>14</xdr:row>
      <xdr:rowOff>40302</xdr:rowOff>
    </xdr:to>
    <xdr:pic>
      <xdr:nvPicPr>
        <xdr:cNvPr id="13" name="Picture 12">
          <a:extLst>
            <a:ext uri="{FF2B5EF4-FFF2-40B4-BE49-F238E27FC236}">
              <a16:creationId xmlns:a16="http://schemas.microsoft.com/office/drawing/2014/main" id="{BE8170F7-277B-4A9E-A0BE-DB4983AAFBC6}"/>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62313" r="1815" b="61975"/>
        <a:stretch>
          <a:fillRect/>
        </a:stretch>
      </xdr:blipFill>
      <xdr:spPr>
        <a:xfrm>
          <a:off x="288744" y="2889099"/>
          <a:ext cx="356915" cy="390606"/>
        </a:xfrm>
        <a:prstGeom prst="rect">
          <a:avLst/>
        </a:prstGeom>
      </xdr:spPr>
    </xdr:pic>
    <xdr:clientData/>
  </xdr:twoCellAnchor>
  <xdr:twoCellAnchor editAs="oneCell">
    <xdr:from>
      <xdr:col>1</xdr:col>
      <xdr:colOff>92953</xdr:colOff>
      <xdr:row>14</xdr:row>
      <xdr:rowOff>22389</xdr:rowOff>
    </xdr:from>
    <xdr:to>
      <xdr:col>1</xdr:col>
      <xdr:colOff>449868</xdr:colOff>
      <xdr:row>15</xdr:row>
      <xdr:rowOff>2356</xdr:rowOff>
    </xdr:to>
    <xdr:pic>
      <xdr:nvPicPr>
        <xdr:cNvPr id="14" name="Picture 13">
          <a:extLst>
            <a:ext uri="{FF2B5EF4-FFF2-40B4-BE49-F238E27FC236}">
              <a16:creationId xmlns:a16="http://schemas.microsoft.com/office/drawing/2014/main" id="{AB949476-7EF7-428D-927B-0299588FC445}"/>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t="35508" r="64128" b="36086"/>
        <a:stretch>
          <a:fillRect/>
        </a:stretch>
      </xdr:blipFill>
      <xdr:spPr>
        <a:xfrm>
          <a:off x="251853" y="3261792"/>
          <a:ext cx="356915" cy="291800"/>
        </a:xfrm>
        <a:prstGeom prst="rect">
          <a:avLst/>
        </a:prstGeom>
      </xdr:spPr>
    </xdr:pic>
    <xdr:clientData/>
  </xdr:twoCellAnchor>
  <xdr:twoCellAnchor editAs="oneCell">
    <xdr:from>
      <xdr:col>1</xdr:col>
      <xdr:colOff>141361</xdr:colOff>
      <xdr:row>15</xdr:row>
      <xdr:rowOff>310865</xdr:rowOff>
    </xdr:from>
    <xdr:to>
      <xdr:col>1</xdr:col>
      <xdr:colOff>498276</xdr:colOff>
      <xdr:row>16</xdr:row>
      <xdr:rowOff>270996</xdr:rowOff>
    </xdr:to>
    <xdr:pic>
      <xdr:nvPicPr>
        <xdr:cNvPr id="16" name="Picture 15">
          <a:extLst>
            <a:ext uri="{FF2B5EF4-FFF2-40B4-BE49-F238E27FC236}">
              <a16:creationId xmlns:a16="http://schemas.microsoft.com/office/drawing/2014/main" id="{58F079A4-1FDE-4EA5-ADD5-80A24B002513}"/>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64128" t="35795" b="37500"/>
        <a:stretch>
          <a:fillRect/>
        </a:stretch>
      </xdr:blipFill>
      <xdr:spPr>
        <a:xfrm>
          <a:off x="300585" y="3832746"/>
          <a:ext cx="356915" cy="270996"/>
        </a:xfrm>
        <a:prstGeom prst="rect">
          <a:avLst/>
        </a:prstGeom>
      </xdr:spPr>
    </xdr:pic>
    <xdr:clientData/>
  </xdr:twoCellAnchor>
  <xdr:twoCellAnchor editAs="oneCell">
    <xdr:from>
      <xdr:col>1</xdr:col>
      <xdr:colOff>79438</xdr:colOff>
      <xdr:row>17</xdr:row>
      <xdr:rowOff>0</xdr:rowOff>
    </xdr:from>
    <xdr:to>
      <xdr:col>1</xdr:col>
      <xdr:colOff>436353</xdr:colOff>
      <xdr:row>17</xdr:row>
      <xdr:rowOff>270996</xdr:rowOff>
    </xdr:to>
    <xdr:pic>
      <xdr:nvPicPr>
        <xdr:cNvPr id="17" name="Picture 16">
          <a:extLst>
            <a:ext uri="{FF2B5EF4-FFF2-40B4-BE49-F238E27FC236}">
              <a16:creationId xmlns:a16="http://schemas.microsoft.com/office/drawing/2014/main" id="{1F843C66-372F-40DF-936A-6904D4D0F5EF}"/>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t="65416" r="64128" b="7879"/>
        <a:stretch>
          <a:fillRect/>
        </a:stretch>
      </xdr:blipFill>
      <xdr:spPr>
        <a:xfrm>
          <a:off x="238662" y="4143612"/>
          <a:ext cx="356915" cy="270996"/>
        </a:xfrm>
        <a:prstGeom prst="rect">
          <a:avLst/>
        </a:prstGeom>
      </xdr:spPr>
    </xdr:pic>
    <xdr:clientData/>
  </xdr:twoCellAnchor>
  <xdr:twoCellAnchor editAs="oneCell">
    <xdr:from>
      <xdr:col>1</xdr:col>
      <xdr:colOff>129844</xdr:colOff>
      <xdr:row>15</xdr:row>
      <xdr:rowOff>39869</xdr:rowOff>
    </xdr:from>
    <xdr:to>
      <xdr:col>1</xdr:col>
      <xdr:colOff>486759</xdr:colOff>
      <xdr:row>16</xdr:row>
      <xdr:rowOff>810</xdr:rowOff>
    </xdr:to>
    <xdr:pic>
      <xdr:nvPicPr>
        <xdr:cNvPr id="18" name="Picture 17">
          <a:extLst>
            <a:ext uri="{FF2B5EF4-FFF2-40B4-BE49-F238E27FC236}">
              <a16:creationId xmlns:a16="http://schemas.microsoft.com/office/drawing/2014/main" id="{F81F80C4-B008-468C-AC16-CE902150B112}"/>
            </a:ext>
          </a:extLst>
        </xdr:cNvPr>
        <xdr:cNvPicPr>
          <a:picLocks noChangeAspect="1"/>
        </xdr:cNvPicPr>
      </xdr:nvPicPr>
      <xdr:blipFill rotWithShape="1">
        <a:blip xmlns:r="http://schemas.openxmlformats.org/officeDocument/2006/relationships" r:embed="rId9" cstate="print">
          <a:extLst>
            <a:ext uri="{28A0092B-C50C-407E-A947-70E740481C1C}">
              <a14:useLocalDpi xmlns:a14="http://schemas.microsoft.com/office/drawing/2010/main" val="0"/>
            </a:ext>
          </a:extLst>
        </a:blip>
        <a:srcRect l="31360" t="36939" r="32768" b="36356"/>
        <a:stretch>
          <a:fillRect/>
        </a:stretch>
      </xdr:blipFill>
      <xdr:spPr>
        <a:xfrm>
          <a:off x="289068" y="3561750"/>
          <a:ext cx="356915" cy="270996"/>
        </a:xfrm>
        <a:prstGeom prst="rect">
          <a:avLst/>
        </a:prstGeom>
      </xdr:spPr>
    </xdr:pic>
    <xdr:clientData/>
  </xdr:twoCellAnchor>
  <xdr:twoCellAnchor>
    <xdr:from>
      <xdr:col>3</xdr:col>
      <xdr:colOff>359017</xdr:colOff>
      <xdr:row>11</xdr:row>
      <xdr:rowOff>39870</xdr:rowOff>
    </xdr:from>
    <xdr:to>
      <xdr:col>9</xdr:col>
      <xdr:colOff>0</xdr:colOff>
      <xdr:row>18</xdr:row>
      <xdr:rowOff>29026</xdr:rowOff>
    </xdr:to>
    <xdr:sp macro="" textlink="">
      <xdr:nvSpPr>
        <xdr:cNvPr id="19" name="TextBox 18">
          <a:extLst>
            <a:ext uri="{FF2B5EF4-FFF2-40B4-BE49-F238E27FC236}">
              <a16:creationId xmlns:a16="http://schemas.microsoft.com/office/drawing/2014/main" id="{447B7A35-967A-9712-6EBB-DFF2728BEF30}"/>
            </a:ext>
          </a:extLst>
        </xdr:cNvPr>
        <xdr:cNvSpPr txBox="1"/>
      </xdr:nvSpPr>
      <xdr:spPr>
        <a:xfrm>
          <a:off x="3619498" y="2325870"/>
          <a:ext cx="4813790" cy="2194560"/>
        </a:xfrm>
        <a:prstGeom prst="rect">
          <a:avLst/>
        </a:prstGeom>
        <a:solidFill>
          <a:srgbClr val="F2F2F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600" b="1"/>
            <a:t>Model Overview</a:t>
          </a:r>
        </a:p>
        <a:p>
          <a:pPr marL="285750" indent="-285750">
            <a:buFont typeface="Arial" panose="020B0604020202020204" pitchFamily="34" charset="0"/>
            <a:buChar char="•"/>
          </a:pPr>
          <a:r>
            <a:rPr lang="en-IN" sz="1200"/>
            <a:t>This model presents a comprehensive financial analysis of Nestlé India Limited.</a:t>
          </a:r>
        </a:p>
        <a:p>
          <a:pPr marL="285750" indent="-285750">
            <a:buFont typeface="Arial" panose="020B0604020202020204" pitchFamily="34" charset="0"/>
            <a:buChar char="•"/>
          </a:pPr>
          <a:r>
            <a:rPr lang="en-IN" sz="1200"/>
            <a:t>Historical data from FY2017 to FY2024 (15M &amp; 12M Adjusted) and forecasts from FY2025 to FY2028E.</a:t>
          </a:r>
        </a:p>
        <a:p>
          <a:pPr marL="285750" indent="-285750">
            <a:buFont typeface="Arial" panose="020B0604020202020204" pitchFamily="34" charset="0"/>
            <a:buChar char="•"/>
          </a:pPr>
          <a:r>
            <a:rPr lang="en-IN" sz="1200"/>
            <a:t>FY2024 (15M) represents the 15-month period (Jan 2023 – Mar 2024).</a:t>
          </a:r>
        </a:p>
        <a:p>
          <a:pPr marL="285750" indent="-285750">
            <a:buFont typeface="Arial" panose="020B0604020202020204" pitchFamily="34" charset="0"/>
            <a:buChar char="•"/>
          </a:pPr>
          <a:r>
            <a:rPr lang="en-IN" sz="1200"/>
            <a:t>FY2024 (12M Adjusted) is normalized to 12 months for comparability.</a:t>
          </a:r>
        </a:p>
        <a:p>
          <a:pPr marL="285750" indent="-285750">
            <a:buFont typeface="Arial" panose="020B0604020202020204" pitchFamily="34" charset="0"/>
            <a:buChar char="•"/>
          </a:pPr>
          <a:r>
            <a:rPr lang="en-IN" sz="1200"/>
            <a:t>The model includes Income Statement, Schedules, Cash Flow Statement, and Balance Sheet.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142395</xdr:colOff>
      <xdr:row>38</xdr:row>
      <xdr:rowOff>60034</xdr:rowOff>
    </xdr:from>
    <xdr:to>
      <xdr:col>9</xdr:col>
      <xdr:colOff>1</xdr:colOff>
      <xdr:row>56</xdr:row>
      <xdr:rowOff>156112</xdr:rowOff>
    </xdr:to>
    <xdr:graphicFrame macro="">
      <xdr:nvGraphicFramePr>
        <xdr:cNvPr id="6" name="Chart 5">
          <a:extLst>
            <a:ext uri="{FF2B5EF4-FFF2-40B4-BE49-F238E27FC236}">
              <a16:creationId xmlns:a16="http://schemas.microsoft.com/office/drawing/2014/main" id="{AF7279E4-4382-4196-31BE-5AC4FD8693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462665</xdr:colOff>
      <xdr:row>37</xdr:row>
      <xdr:rowOff>107757</xdr:rowOff>
    </xdr:from>
    <xdr:to>
      <xdr:col>17</xdr:col>
      <xdr:colOff>0</xdr:colOff>
      <xdr:row>56</xdr:row>
      <xdr:rowOff>68341</xdr:rowOff>
    </xdr:to>
    <xdr:graphicFrame macro="">
      <xdr:nvGraphicFramePr>
        <xdr:cNvPr id="2" name="Chart 1">
          <a:extLst>
            <a:ext uri="{FF2B5EF4-FFF2-40B4-BE49-F238E27FC236}">
              <a16:creationId xmlns:a16="http://schemas.microsoft.com/office/drawing/2014/main" id="{F7EF50E5-E0EF-58E1-73A2-068BB912CA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150091</xdr:colOff>
      <xdr:row>58</xdr:row>
      <xdr:rowOff>153939</xdr:rowOff>
    </xdr:from>
    <xdr:to>
      <xdr:col>9</xdr:col>
      <xdr:colOff>154786</xdr:colOff>
      <xdr:row>81</xdr:row>
      <xdr:rowOff>86955</xdr:rowOff>
    </xdr:to>
    <xdr:graphicFrame macro="">
      <xdr:nvGraphicFramePr>
        <xdr:cNvPr id="7" name="Chart 6">
          <a:extLst>
            <a:ext uri="{FF2B5EF4-FFF2-40B4-BE49-F238E27FC236}">
              <a16:creationId xmlns:a16="http://schemas.microsoft.com/office/drawing/2014/main" id="{8A38ACF8-B356-E992-9D98-4A93570B51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382401</xdr:colOff>
      <xdr:row>58</xdr:row>
      <xdr:rowOff>142259</xdr:rowOff>
    </xdr:from>
    <xdr:to>
      <xdr:col>17</xdr:col>
      <xdr:colOff>0</xdr:colOff>
      <xdr:row>79</xdr:row>
      <xdr:rowOff>61576</xdr:rowOff>
    </xdr:to>
    <xdr:graphicFrame macro="">
      <xdr:nvGraphicFramePr>
        <xdr:cNvPr id="8" name="Chart 7">
          <a:extLst>
            <a:ext uri="{FF2B5EF4-FFF2-40B4-BE49-F238E27FC236}">
              <a16:creationId xmlns:a16="http://schemas.microsoft.com/office/drawing/2014/main" id="{4D79E751-0613-6EF8-CE47-603D8010AE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0436-8333-4931-ACD8-6891DE87A8FC}">
  <sheetPr codeName="Sheet1">
    <pageSetUpPr fitToPage="1"/>
  </sheetPr>
  <dimension ref="A1:P34"/>
  <sheetViews>
    <sheetView showGridLines="0" zoomScale="72" zoomScaleNormal="86" workbookViewId="0">
      <selection activeCell="O4" sqref="O4:P4"/>
    </sheetView>
  </sheetViews>
  <sheetFormatPr defaultRowHeight="14.4" x14ac:dyDescent="0.3"/>
  <cols>
    <col min="1" max="1" width="2.33203125" style="2" customWidth="1"/>
    <col min="2" max="2" width="26.109375" style="2" customWidth="1"/>
    <col min="3" max="3" width="19.109375" style="2" customWidth="1"/>
    <col min="4" max="4" width="5.21875" style="2" customWidth="1"/>
    <col min="5" max="5" width="18.33203125" style="2" customWidth="1"/>
    <col min="6" max="6" width="8.77734375" style="2" customWidth="1"/>
    <col min="7" max="7" width="15.109375" style="2" customWidth="1"/>
    <col min="8" max="8" width="15.77734375" style="2" customWidth="1"/>
    <col min="9" max="9" width="12.21875" style="2" customWidth="1"/>
    <col min="10" max="10" width="4.5546875" style="2" customWidth="1"/>
    <col min="11" max="11" width="4.21875" style="2" customWidth="1"/>
    <col min="12" max="12" width="24.6640625" style="2" customWidth="1"/>
    <col min="13" max="13" width="3.6640625" style="2" customWidth="1"/>
    <col min="14" max="14" width="17.88671875" style="2" customWidth="1"/>
    <col min="15" max="15" width="13.33203125" style="2" customWidth="1"/>
    <col min="16" max="22" width="10.77734375" style="2" customWidth="1"/>
    <col min="23" max="16384" width="8.88671875" style="2"/>
  </cols>
  <sheetData>
    <row r="1" spans="1:16" ht="30" customHeight="1" x14ac:dyDescent="0.35">
      <c r="A1" s="1"/>
    </row>
    <row r="2" spans="1:16" x14ac:dyDescent="0.3">
      <c r="F2" s="3"/>
      <c r="G2"/>
      <c r="H2"/>
      <c r="I2"/>
      <c r="J2"/>
      <c r="K2"/>
      <c r="L2" s="10"/>
      <c r="N2" s="154" t="s">
        <v>173</v>
      </c>
      <c r="O2" s="154"/>
      <c r="P2" s="154"/>
    </row>
    <row r="3" spans="1:16" x14ac:dyDescent="0.3">
      <c r="F3" s="3"/>
      <c r="G3"/>
      <c r="H3"/>
      <c r="I3"/>
      <c r="J3"/>
      <c r="K3"/>
      <c r="L3" s="10"/>
      <c r="N3" s="7" t="s">
        <v>174</v>
      </c>
      <c r="O3" s="155">
        <v>1</v>
      </c>
      <c r="P3" s="156"/>
    </row>
    <row r="4" spans="1:16" x14ac:dyDescent="0.3">
      <c r="F4" s="3"/>
      <c r="G4"/>
      <c r="H4"/>
      <c r="I4"/>
      <c r="J4"/>
      <c r="K4"/>
      <c r="L4" s="10"/>
      <c r="N4" s="8" t="s">
        <v>175</v>
      </c>
      <c r="O4" s="169">
        <v>46117</v>
      </c>
      <c r="P4" s="170"/>
    </row>
    <row r="5" spans="1:16" x14ac:dyDescent="0.3">
      <c r="F5" s="3"/>
      <c r="G5"/>
      <c r="H5"/>
      <c r="I5"/>
      <c r="J5"/>
      <c r="K5"/>
      <c r="L5" s="10"/>
      <c r="N5" s="8" t="s">
        <v>176</v>
      </c>
      <c r="O5" s="155" t="s">
        <v>177</v>
      </c>
      <c r="P5" s="156"/>
    </row>
    <row r="6" spans="1:16" x14ac:dyDescent="0.3">
      <c r="F6" s="3"/>
      <c r="G6" s="11" t="s">
        <v>196</v>
      </c>
      <c r="H6"/>
      <c r="I6"/>
      <c r="J6"/>
      <c r="K6"/>
      <c r="L6" s="10"/>
      <c r="N6" s="9" t="s">
        <v>178</v>
      </c>
      <c r="O6" s="157" t="s">
        <v>179</v>
      </c>
      <c r="P6" s="158"/>
    </row>
    <row r="7" spans="1:16" ht="19.8" customHeight="1" x14ac:dyDescent="0.3">
      <c r="F7" s="3"/>
      <c r="G7" s="12" t="s">
        <v>197</v>
      </c>
      <c r="H7"/>
      <c r="I7"/>
      <c r="J7"/>
      <c r="K7"/>
      <c r="L7" s="10"/>
    </row>
    <row r="8" spans="1:16" ht="15" thickBot="1" x14ac:dyDescent="0.35">
      <c r="B8" s="4"/>
      <c r="C8" s="4"/>
      <c r="D8" s="4"/>
      <c r="E8" s="4"/>
      <c r="F8" s="4"/>
      <c r="G8" s="4"/>
      <c r="H8" s="4"/>
      <c r="I8" s="4"/>
      <c r="J8" s="4"/>
      <c r="K8" s="4"/>
      <c r="L8" s="4"/>
      <c r="M8" s="4"/>
      <c r="N8" s="4"/>
      <c r="O8" s="4"/>
      <c r="P8" s="4"/>
    </row>
    <row r="9" spans="1:16" ht="15" thickTop="1" x14ac:dyDescent="0.3"/>
    <row r="10" spans="1:16" ht="23.4" x14ac:dyDescent="0.45">
      <c r="B10" s="161" t="s">
        <v>180</v>
      </c>
      <c r="C10" s="161"/>
      <c r="E10" s="167" t="s">
        <v>198</v>
      </c>
      <c r="F10" s="167"/>
      <c r="G10" s="167"/>
      <c r="H10" s="167"/>
      <c r="I10" s="167"/>
      <c r="K10" s="168" t="s">
        <v>199</v>
      </c>
      <c r="L10" s="168"/>
      <c r="M10" s="168"/>
      <c r="N10" s="168"/>
      <c r="O10" s="168"/>
    </row>
    <row r="11" spans="1:16" ht="4.95" customHeight="1" x14ac:dyDescent="0.3">
      <c r="B11"/>
      <c r="C11"/>
      <c r="E11"/>
      <c r="F11"/>
      <c r="G11"/>
      <c r="H11"/>
      <c r="I11"/>
      <c r="K11"/>
      <c r="L11"/>
      <c r="M11"/>
      <c r="N11"/>
      <c r="O11"/>
    </row>
    <row r="12" spans="1:16" ht="24.6" customHeight="1" x14ac:dyDescent="0.3">
      <c r="B12" s="159" t="s">
        <v>181</v>
      </c>
      <c r="C12" s="160"/>
      <c r="E12"/>
      <c r="F12" t="s">
        <v>172</v>
      </c>
      <c r="G12"/>
      <c r="H12"/>
      <c r="I12"/>
      <c r="K12" s="162" t="s">
        <v>188</v>
      </c>
      <c r="L12" s="163"/>
      <c r="M12" s="164" t="s">
        <v>191</v>
      </c>
      <c r="N12" s="165"/>
      <c r="O12" s="166"/>
    </row>
    <row r="13" spans="1:16" ht="24.6" customHeight="1" x14ac:dyDescent="0.3">
      <c r="B13" s="159" t="s">
        <v>182</v>
      </c>
      <c r="C13" s="160"/>
      <c r="E13"/>
      <c r="F13" s="6"/>
      <c r="G13"/>
      <c r="H13"/>
      <c r="I13"/>
      <c r="K13" s="171" t="s">
        <v>189</v>
      </c>
      <c r="L13" s="172"/>
      <c r="M13" s="175" t="s">
        <v>192</v>
      </c>
      <c r="N13" s="176"/>
      <c r="O13" s="177"/>
    </row>
    <row r="14" spans="1:16" ht="24.6" customHeight="1" x14ac:dyDescent="0.3">
      <c r="B14" s="159" t="s">
        <v>183</v>
      </c>
      <c r="C14" s="160"/>
      <c r="E14"/>
      <c r="F14"/>
      <c r="G14"/>
      <c r="H14"/>
      <c r="I14"/>
      <c r="K14" s="171" t="s">
        <v>194</v>
      </c>
      <c r="L14" s="172"/>
      <c r="M14" s="175" t="s">
        <v>193</v>
      </c>
      <c r="N14" s="176"/>
      <c r="O14" s="177"/>
    </row>
    <row r="15" spans="1:16" ht="24.6" customHeight="1" x14ac:dyDescent="0.3">
      <c r="B15" s="159" t="s">
        <v>184</v>
      </c>
      <c r="C15" s="160"/>
      <c r="E15"/>
      <c r="F15"/>
      <c r="G15"/>
      <c r="H15"/>
      <c r="I15"/>
      <c r="K15" s="173" t="s">
        <v>190</v>
      </c>
      <c r="L15" s="174"/>
      <c r="M15" s="178" t="s">
        <v>195</v>
      </c>
      <c r="N15" s="179"/>
      <c r="O15" s="180"/>
    </row>
    <row r="16" spans="1:16" ht="24.6" customHeight="1" x14ac:dyDescent="0.3">
      <c r="B16" s="159" t="s">
        <v>185</v>
      </c>
      <c r="C16" s="160"/>
      <c r="E16"/>
      <c r="F16"/>
      <c r="G16"/>
      <c r="H16"/>
      <c r="I16"/>
      <c r="N16" s="5"/>
      <c r="O16" s="5"/>
    </row>
    <row r="17" spans="2:9" ht="24.6" customHeight="1" x14ac:dyDescent="0.3">
      <c r="B17" s="159" t="s">
        <v>186</v>
      </c>
      <c r="C17" s="160"/>
      <c r="E17"/>
      <c r="F17"/>
      <c r="G17"/>
      <c r="H17"/>
      <c r="I17"/>
    </row>
    <row r="18" spans="2:9" ht="24.6" customHeight="1" x14ac:dyDescent="0.3">
      <c r="B18" s="159" t="s">
        <v>187</v>
      </c>
      <c r="C18" s="160"/>
      <c r="E18"/>
      <c r="F18"/>
      <c r="G18"/>
      <c r="H18"/>
      <c r="I18"/>
    </row>
    <row r="19" spans="2:9" ht="24.6" customHeight="1" x14ac:dyDescent="0.3">
      <c r="B19"/>
      <c r="C19"/>
      <c r="D19"/>
      <c r="E19"/>
      <c r="F19"/>
      <c r="G19"/>
    </row>
    <row r="20" spans="2:9" ht="24.6" customHeight="1" x14ac:dyDescent="0.3">
      <c r="B20" s="167" t="s">
        <v>200</v>
      </c>
      <c r="C20" s="167"/>
      <c r="D20" s="167"/>
      <c r="E20" s="167"/>
      <c r="F20" s="167"/>
      <c r="G20"/>
    </row>
    <row r="21" spans="2:9" ht="6" customHeight="1" x14ac:dyDescent="0.3">
      <c r="B21"/>
      <c r="C21"/>
      <c r="D21"/>
      <c r="E21"/>
      <c r="F21"/>
      <c r="G21"/>
    </row>
    <row r="22" spans="2:9" ht="18.600000000000001" customHeight="1" x14ac:dyDescent="0.35">
      <c r="B22" s="13" t="s">
        <v>204</v>
      </c>
      <c r="C22" s="14"/>
      <c r="D22" s="14"/>
      <c r="E22" s="14"/>
      <c r="F22" s="15"/>
      <c r="G22"/>
    </row>
    <row r="23" spans="2:9" ht="18.600000000000001" customHeight="1" x14ac:dyDescent="0.35">
      <c r="B23" s="16" t="s">
        <v>201</v>
      </c>
      <c r="C23" s="17"/>
      <c r="D23" s="17"/>
      <c r="E23" s="17"/>
      <c r="F23" s="18"/>
      <c r="G23"/>
    </row>
    <row r="24" spans="2:9" ht="18.600000000000001" customHeight="1" x14ac:dyDescent="0.35">
      <c r="B24" s="16" t="s">
        <v>202</v>
      </c>
      <c r="C24" s="17"/>
      <c r="D24" s="17"/>
      <c r="E24" s="17"/>
      <c r="F24" s="18"/>
      <c r="G24"/>
    </row>
    <row r="25" spans="2:9" ht="18.600000000000001" customHeight="1" x14ac:dyDescent="0.35">
      <c r="B25" s="19" t="s">
        <v>203</v>
      </c>
      <c r="C25" s="20"/>
      <c r="D25" s="20"/>
      <c r="E25" s="20"/>
      <c r="F25" s="21"/>
      <c r="G25"/>
    </row>
    <row r="26" spans="2:9" ht="18.600000000000001" customHeight="1" x14ac:dyDescent="0.3">
      <c r="B26"/>
      <c r="C26"/>
      <c r="D26"/>
      <c r="E26"/>
      <c r="F26"/>
      <c r="G26"/>
    </row>
    <row r="27" spans="2:9" ht="18.600000000000001" customHeight="1" x14ac:dyDescent="0.3"/>
    <row r="28" spans="2:9" ht="18.600000000000001" customHeight="1" x14ac:dyDescent="0.3"/>
    <row r="29" spans="2:9" ht="18.600000000000001" customHeight="1" x14ac:dyDescent="0.3"/>
    <row r="30" spans="2:9" ht="18.600000000000001" customHeight="1" x14ac:dyDescent="0.3"/>
    <row r="31" spans="2:9" ht="18.600000000000001" customHeight="1" x14ac:dyDescent="0.3"/>
    <row r="32" spans="2:9" ht="18.600000000000001" customHeight="1" x14ac:dyDescent="0.3"/>
    <row r="33" s="2" customFormat="1" ht="18.600000000000001" customHeight="1" x14ac:dyDescent="0.3"/>
    <row r="34" s="2" customFormat="1" ht="18.600000000000001" customHeight="1" x14ac:dyDescent="0.3"/>
  </sheetData>
  <mergeCells count="24">
    <mergeCell ref="B20:F20"/>
    <mergeCell ref="E10:I10"/>
    <mergeCell ref="K10:O10"/>
    <mergeCell ref="B18:C18"/>
    <mergeCell ref="O4:P4"/>
    <mergeCell ref="B13:C13"/>
    <mergeCell ref="B14:C14"/>
    <mergeCell ref="B15:C15"/>
    <mergeCell ref="B16:C16"/>
    <mergeCell ref="B17:C17"/>
    <mergeCell ref="K13:L13"/>
    <mergeCell ref="K14:L14"/>
    <mergeCell ref="K15:L15"/>
    <mergeCell ref="M13:O13"/>
    <mergeCell ref="M14:O14"/>
    <mergeCell ref="M15:O15"/>
    <mergeCell ref="N2:P2"/>
    <mergeCell ref="O3:P3"/>
    <mergeCell ref="O5:P5"/>
    <mergeCell ref="O6:P6"/>
    <mergeCell ref="B12:C12"/>
    <mergeCell ref="B10:C10"/>
    <mergeCell ref="K12:L12"/>
    <mergeCell ref="M12:O12"/>
  </mergeCells>
  <hyperlinks>
    <hyperlink ref="B12:C12" location="COVER!A1" display="1.  Cover Page" xr:uid="{C3FFABC6-12B2-4A48-8C61-D8BAB7B99ADA}"/>
    <hyperlink ref="B13:C13" location="Assumptions!A1" display="2. Assumptions" xr:uid="{82A44AF6-0832-447E-B81E-9B10F6E5C182}"/>
    <hyperlink ref="B14:C14" location="'Income Statement'!A1" display="3. Income Statement" xr:uid="{CC927AA0-1439-416A-9824-B37D26CE1517}"/>
    <hyperlink ref="B15:C15" location="Schedules!A1" display="4. Shedules" xr:uid="{2C4DFAA6-622F-48C4-8622-AC2942751AB0}"/>
    <hyperlink ref="B16:C16" location="'Cash Flow'!A1" display="5.Cash Flow Statement" xr:uid="{DE181F7D-857C-4D41-A9A1-46600EB1F01F}"/>
    <hyperlink ref="B17:C17" location="'Balance Sheet'!A1" display="6. Balance Sheet" xr:uid="{247E56FB-4E6D-45E7-91A8-59A9BCBB8223}"/>
    <hyperlink ref="B18:C18" location="Dashboard!A1" display="7. Dashboard" xr:uid="{61E432D5-3CDD-46F4-B593-1668E82DB2F9}"/>
  </hyperlinks>
  <pageMargins left="0.7" right="0.7" top="1.35" bottom="0.75" header="0.3" footer="0.3"/>
  <pageSetup scale="60"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C9A84C"/>
    <pageSetUpPr fitToPage="1"/>
  </sheetPr>
  <dimension ref="B1:U51"/>
  <sheetViews>
    <sheetView showGridLines="0" zoomScale="115" zoomScaleNormal="115" zoomScaleSheetLayoutView="50" zoomScalePageLayoutView="38" workbookViewId="0">
      <selection activeCell="B19" sqref="B19"/>
    </sheetView>
  </sheetViews>
  <sheetFormatPr defaultColWidth="8.6640625" defaultRowHeight="14.4" x14ac:dyDescent="0.3"/>
  <cols>
    <col min="1" max="1" width="2.33203125" style="22" customWidth="1"/>
    <col min="2" max="2" width="43.77734375" style="22" customWidth="1"/>
    <col min="3" max="3" width="28.77734375" style="22" customWidth="1"/>
    <col min="4" max="4" width="34.5546875" style="22" customWidth="1"/>
    <col min="5" max="5" width="25.88671875" style="22" customWidth="1"/>
    <col min="6" max="16384" width="8.6640625" style="22"/>
  </cols>
  <sheetData>
    <row r="1" spans="2:7" ht="36" customHeight="1" x14ac:dyDescent="0.3">
      <c r="B1" s="183" t="s">
        <v>209</v>
      </c>
      <c r="C1" s="183"/>
      <c r="D1" s="183"/>
      <c r="E1" s="183"/>
    </row>
    <row r="3" spans="2:7" ht="15" customHeight="1" x14ac:dyDescent="0.3">
      <c r="B3" s="184" t="s">
        <v>0</v>
      </c>
      <c r="C3" s="184"/>
      <c r="D3" s="184"/>
      <c r="E3" s="184"/>
      <c r="G3" s="23"/>
    </row>
    <row r="4" spans="2:7" ht="15" customHeight="1" x14ac:dyDescent="0.3">
      <c r="B4" s="24" t="s">
        <v>1</v>
      </c>
      <c r="C4" s="25" t="s">
        <v>2</v>
      </c>
      <c r="D4" s="25" t="s">
        <v>3</v>
      </c>
      <c r="E4" s="25" t="s">
        <v>4</v>
      </c>
    </row>
    <row r="5" spans="2:7" ht="27.75" customHeight="1" x14ac:dyDescent="0.3">
      <c r="B5" s="26" t="s">
        <v>5</v>
      </c>
      <c r="C5" s="27">
        <v>0.06</v>
      </c>
      <c r="D5" s="27">
        <v>0.08</v>
      </c>
      <c r="E5" s="27">
        <v>0.09</v>
      </c>
    </row>
    <row r="6" spans="2:7" ht="27.75" customHeight="1" x14ac:dyDescent="0.3">
      <c r="B6" s="26" t="s">
        <v>6</v>
      </c>
      <c r="C6" s="28">
        <v>0.04</v>
      </c>
      <c r="D6" s="28">
        <v>0.03</v>
      </c>
      <c r="E6" s="28">
        <v>2.5000000000000001E-2</v>
      </c>
    </row>
    <row r="7" spans="2:7" ht="27.75" customHeight="1" x14ac:dyDescent="0.3">
      <c r="B7" s="26" t="s">
        <v>7</v>
      </c>
      <c r="C7" s="43">
        <f>C5+C6</f>
        <v>0.1</v>
      </c>
      <c r="D7" s="43">
        <f t="shared" ref="D7:E7" si="0">D5+D6</f>
        <v>0.11</v>
      </c>
      <c r="E7" s="43">
        <f t="shared" si="0"/>
        <v>0.11499999999999999</v>
      </c>
    </row>
    <row r="9" spans="2:7" ht="15" customHeight="1" x14ac:dyDescent="0.3">
      <c r="B9" s="184" t="s">
        <v>8</v>
      </c>
      <c r="C9" s="184"/>
      <c r="D9" s="184"/>
      <c r="E9" s="184"/>
    </row>
    <row r="10" spans="2:7" ht="15" customHeight="1" x14ac:dyDescent="0.3">
      <c r="B10" s="24" t="s">
        <v>1</v>
      </c>
      <c r="C10" s="25" t="s">
        <v>2</v>
      </c>
      <c r="D10" s="25" t="s">
        <v>3</v>
      </c>
      <c r="E10" s="25" t="s">
        <v>4</v>
      </c>
    </row>
    <row r="11" spans="2:7" ht="15" customHeight="1" x14ac:dyDescent="0.3">
      <c r="B11" s="24"/>
      <c r="C11" s="25"/>
      <c r="D11" s="25"/>
      <c r="E11" s="25"/>
    </row>
    <row r="12" spans="2:7" s="2" customFormat="1" ht="4.95" customHeight="1" x14ac:dyDescent="0.3"/>
    <row r="13" spans="2:7" ht="27.75" customHeight="1" x14ac:dyDescent="0.3">
      <c r="B13" s="29" t="s">
        <v>205</v>
      </c>
      <c r="C13" s="30">
        <v>0.376</v>
      </c>
      <c r="D13" s="30">
        <v>0.372</v>
      </c>
      <c r="E13" s="30">
        <v>0.36799999999999999</v>
      </c>
    </row>
    <row r="14" spans="2:7" ht="4.95" customHeight="1" x14ac:dyDescent="0.3">
      <c r="B14" s="29"/>
      <c r="C14" s="30"/>
      <c r="D14" s="30"/>
      <c r="E14" s="30"/>
    </row>
    <row r="15" spans="2:7" ht="27.75" customHeight="1" x14ac:dyDescent="0.3">
      <c r="B15" s="31" t="s">
        <v>206</v>
      </c>
      <c r="C15" s="32">
        <v>0.107</v>
      </c>
      <c r="D15" s="32">
        <v>0.106</v>
      </c>
      <c r="E15" s="32">
        <v>0.105</v>
      </c>
    </row>
    <row r="16" spans="2:7" s="2" customFormat="1" ht="4.95" customHeight="1" x14ac:dyDescent="0.3">
      <c r="C16" s="33"/>
      <c r="D16" s="33"/>
      <c r="E16" s="33"/>
    </row>
    <row r="17" spans="2:5" ht="27.75" customHeight="1" x14ac:dyDescent="0.3">
      <c r="B17" s="31" t="s">
        <v>207</v>
      </c>
      <c r="C17" s="30">
        <v>0.10199999999999999</v>
      </c>
      <c r="D17" s="30">
        <v>0.10100000000000001</v>
      </c>
      <c r="E17" s="30">
        <v>0.1</v>
      </c>
    </row>
    <row r="18" spans="2:5" ht="4.95" customHeight="1" x14ac:dyDescent="0.3">
      <c r="B18" s="31"/>
      <c r="C18" s="30"/>
      <c r="D18" s="30"/>
      <c r="E18" s="30"/>
    </row>
    <row r="19" spans="2:5" ht="27.75" customHeight="1" x14ac:dyDescent="0.3">
      <c r="B19" s="31" t="s">
        <v>208</v>
      </c>
      <c r="C19" s="32">
        <v>0.2</v>
      </c>
      <c r="D19" s="32">
        <v>0.20100000000000001</v>
      </c>
      <c r="E19" s="32">
        <v>0.20200000000000001</v>
      </c>
    </row>
    <row r="20" spans="2:5" ht="4.95" customHeight="1" x14ac:dyDescent="0.3">
      <c r="B20" s="31"/>
      <c r="C20" s="30"/>
      <c r="D20" s="30"/>
      <c r="E20" s="30"/>
    </row>
    <row r="21" spans="2:5" ht="27.75" customHeight="1" x14ac:dyDescent="0.3">
      <c r="B21" s="26" t="s">
        <v>9</v>
      </c>
      <c r="C21" s="34">
        <v>0.215</v>
      </c>
      <c r="D21" s="34">
        <v>0.22</v>
      </c>
      <c r="E21" s="35">
        <v>0.22500000000000001</v>
      </c>
    </row>
    <row r="22" spans="2:5" s="2" customFormat="1" ht="4.95" customHeight="1" x14ac:dyDescent="0.3">
      <c r="C22" s="33"/>
      <c r="D22" s="33"/>
      <c r="E22" s="33"/>
    </row>
    <row r="23" spans="2:5" ht="27.75" customHeight="1" x14ac:dyDescent="0.3">
      <c r="B23" s="26" t="s">
        <v>10</v>
      </c>
      <c r="C23" s="32">
        <v>1.6E-2</v>
      </c>
      <c r="D23" s="32">
        <v>1.6E-2</v>
      </c>
      <c r="E23" s="32">
        <v>1.4999999999999999E-2</v>
      </c>
    </row>
    <row r="24" spans="2:5" ht="4.95" customHeight="1" x14ac:dyDescent="0.3">
      <c r="B24" s="26"/>
      <c r="C24" s="36"/>
      <c r="D24" s="36"/>
      <c r="E24" s="36"/>
    </row>
    <row r="25" spans="2:5" ht="27.75" customHeight="1" x14ac:dyDescent="0.3">
      <c r="B25" s="26" t="s">
        <v>11</v>
      </c>
      <c r="C25" s="34">
        <v>9.2999999999999999E-2</v>
      </c>
      <c r="D25" s="34">
        <v>9.6000000000000002E-2</v>
      </c>
      <c r="E25" s="34">
        <v>9.9000000000000005E-2</v>
      </c>
    </row>
    <row r="26" spans="2:5" s="2" customFormat="1" ht="4.95" customHeight="1" x14ac:dyDescent="0.3">
      <c r="C26" s="33"/>
      <c r="D26" s="33"/>
      <c r="E26" s="33"/>
    </row>
    <row r="27" spans="2:5" ht="27.75" customHeight="1" x14ac:dyDescent="0.3">
      <c r="B27" s="26" t="s">
        <v>12</v>
      </c>
      <c r="C27" s="32">
        <v>0.01</v>
      </c>
      <c r="D27" s="32">
        <v>8.9999999999999993E-3</v>
      </c>
      <c r="E27" s="32">
        <v>8.0000000000000002E-3</v>
      </c>
    </row>
    <row r="28" spans="2:5" ht="4.95" customHeight="1" x14ac:dyDescent="0.3">
      <c r="B28" s="2"/>
      <c r="C28" s="36"/>
      <c r="D28" s="36"/>
      <c r="E28" s="36"/>
    </row>
    <row r="29" spans="2:5" ht="27.75" customHeight="1" x14ac:dyDescent="0.3">
      <c r="B29" s="26" t="s">
        <v>13</v>
      </c>
      <c r="C29" s="34">
        <v>0.255</v>
      </c>
      <c r="D29" s="34">
        <v>0.255</v>
      </c>
      <c r="E29" s="34">
        <v>0.255</v>
      </c>
    </row>
    <row r="30" spans="2:5" s="2" customFormat="1" ht="4.95" customHeight="1" x14ac:dyDescent="0.3">
      <c r="C30" s="33"/>
      <c r="D30" s="33"/>
      <c r="E30" s="33"/>
    </row>
    <row r="31" spans="2:5" ht="27.75" customHeight="1" x14ac:dyDescent="0.3">
      <c r="B31" s="26" t="s">
        <v>14</v>
      </c>
      <c r="C31" s="32">
        <v>0.75</v>
      </c>
      <c r="D31" s="32">
        <v>0.78</v>
      </c>
      <c r="E31" s="32">
        <v>0.8</v>
      </c>
    </row>
    <row r="33" spans="2:21" ht="15" customHeight="1" x14ac:dyDescent="0.3">
      <c r="B33" s="184" t="s">
        <v>15</v>
      </c>
      <c r="C33" s="184"/>
      <c r="D33" s="184"/>
      <c r="E33" s="184"/>
    </row>
    <row r="34" spans="2:21" ht="15" customHeight="1" x14ac:dyDescent="0.3">
      <c r="B34" s="24" t="s">
        <v>1</v>
      </c>
      <c r="C34" s="25" t="s">
        <v>2</v>
      </c>
      <c r="D34" s="25" t="s">
        <v>3</v>
      </c>
      <c r="E34" s="25" t="s">
        <v>4</v>
      </c>
    </row>
    <row r="35" spans="2:21" s="2" customFormat="1" ht="4.95" customHeight="1" x14ac:dyDescent="0.3"/>
    <row r="36" spans="2:21" ht="27.75" customHeight="1" x14ac:dyDescent="0.3">
      <c r="B36" s="26" t="s">
        <v>16</v>
      </c>
      <c r="C36" s="28">
        <v>7.0000000000000007E-2</v>
      </c>
      <c r="D36" s="28">
        <v>6.5000000000000002E-2</v>
      </c>
      <c r="E36" s="28">
        <v>5.5E-2</v>
      </c>
    </row>
    <row r="37" spans="2:21" ht="27.75" customHeight="1" x14ac:dyDescent="0.3">
      <c r="B37" s="26" t="s">
        <v>17</v>
      </c>
      <c r="C37" s="37">
        <v>7</v>
      </c>
      <c r="D37" s="37">
        <v>7</v>
      </c>
      <c r="E37" s="37">
        <v>7</v>
      </c>
    </row>
    <row r="38" spans="2:21" ht="27.75" customHeight="1" x14ac:dyDescent="0.3">
      <c r="B38" s="26" t="s">
        <v>18</v>
      </c>
      <c r="C38" s="38">
        <v>52</v>
      </c>
      <c r="D38" s="38">
        <v>51</v>
      </c>
      <c r="E38" s="38">
        <v>50</v>
      </c>
    </row>
    <row r="39" spans="2:21" ht="27.75" customHeight="1" x14ac:dyDescent="0.3">
      <c r="B39" s="26" t="s">
        <v>19</v>
      </c>
      <c r="C39" s="37">
        <v>50</v>
      </c>
      <c r="D39" s="37">
        <v>51</v>
      </c>
      <c r="E39" s="37">
        <v>52</v>
      </c>
    </row>
    <row r="40" spans="2:21" ht="27.75" customHeight="1" x14ac:dyDescent="0.3">
      <c r="B40" s="26" t="s">
        <v>20</v>
      </c>
      <c r="C40" s="28">
        <v>0.34</v>
      </c>
      <c r="D40" s="28">
        <v>0.33800000000000002</v>
      </c>
      <c r="E40" s="28">
        <v>0.33600000000000002</v>
      </c>
    </row>
    <row r="41" spans="2:21" ht="27.75" customHeight="1" x14ac:dyDescent="0.3">
      <c r="B41" s="29" t="s">
        <v>165</v>
      </c>
      <c r="C41" s="27">
        <v>4.3999999999999997E-2</v>
      </c>
      <c r="D41" s="27">
        <v>4.24E-2</v>
      </c>
      <c r="E41" s="27">
        <v>4.0800000000000003E-2</v>
      </c>
    </row>
    <row r="42" spans="2:21" ht="27.75" customHeight="1" x14ac:dyDescent="0.3">
      <c r="B42" s="31" t="s">
        <v>166</v>
      </c>
      <c r="C42" s="39">
        <v>5.4999999999999997E-3</v>
      </c>
      <c r="D42" s="39">
        <v>5.3E-3</v>
      </c>
      <c r="E42" s="39">
        <v>5.1000000000000004E-3</v>
      </c>
    </row>
    <row r="43" spans="2:21" ht="27.75" customHeight="1" x14ac:dyDescent="0.3">
      <c r="B43" s="31" t="s">
        <v>167</v>
      </c>
      <c r="C43" s="27">
        <v>6.0499999999999998E-2</v>
      </c>
      <c r="D43" s="27">
        <v>5.8299999999999998E-2</v>
      </c>
      <c r="E43" s="40">
        <v>5.6099999999999997E-2</v>
      </c>
    </row>
    <row r="44" spans="2:21" ht="27.75" customHeight="1" x14ac:dyDescent="0.3">
      <c r="B44" s="31" t="s">
        <v>168</v>
      </c>
      <c r="C44" s="38">
        <v>100</v>
      </c>
      <c r="D44" s="38">
        <v>80</v>
      </c>
      <c r="E44" s="38">
        <v>60</v>
      </c>
    </row>
    <row r="45" spans="2:21" x14ac:dyDescent="0.3">
      <c r="O45" s="2"/>
      <c r="P45" s="2"/>
      <c r="Q45" s="2"/>
      <c r="R45" s="2"/>
      <c r="S45" s="2"/>
      <c r="T45" s="2"/>
      <c r="U45" s="2"/>
    </row>
    <row r="46" spans="2:21" ht="15" customHeight="1" x14ac:dyDescent="0.3">
      <c r="B46" s="184" t="s">
        <v>21</v>
      </c>
      <c r="C46" s="184"/>
      <c r="D46" s="184"/>
      <c r="E46" s="184"/>
      <c r="O46" s="2"/>
      <c r="P46" s="2"/>
      <c r="Q46" s="2"/>
      <c r="R46" s="2"/>
      <c r="S46" s="2"/>
      <c r="T46" s="2"/>
      <c r="U46" s="2"/>
    </row>
    <row r="47" spans="2:21" ht="59.4" customHeight="1" x14ac:dyDescent="0.3">
      <c r="B47" s="41" t="s">
        <v>22</v>
      </c>
      <c r="C47" s="182" t="s">
        <v>210</v>
      </c>
      <c r="D47" s="182"/>
      <c r="E47" s="182"/>
      <c r="O47" s="2"/>
      <c r="P47" s="2"/>
      <c r="Q47" s="2"/>
      <c r="R47" s="2"/>
      <c r="S47" s="2"/>
      <c r="T47" s="2"/>
      <c r="U47" s="2"/>
    </row>
    <row r="48" spans="2:21" ht="62.4" customHeight="1" x14ac:dyDescent="0.3">
      <c r="B48" s="42" t="s">
        <v>23</v>
      </c>
      <c r="C48" s="181" t="s">
        <v>211</v>
      </c>
      <c r="D48" s="181"/>
      <c r="E48" s="181"/>
      <c r="O48" s="2"/>
      <c r="P48" s="2"/>
      <c r="Q48" s="2"/>
      <c r="R48" s="2"/>
      <c r="S48" s="2"/>
      <c r="T48" s="2"/>
      <c r="U48" s="2"/>
    </row>
    <row r="49" spans="2:21" ht="67.8" customHeight="1" x14ac:dyDescent="0.3">
      <c r="B49" s="41" t="s">
        <v>24</v>
      </c>
      <c r="C49" s="182" t="s">
        <v>212</v>
      </c>
      <c r="D49" s="182"/>
      <c r="E49" s="182"/>
      <c r="O49" s="2"/>
      <c r="P49" s="2"/>
      <c r="Q49" s="2"/>
      <c r="R49" s="2"/>
      <c r="S49" s="2"/>
      <c r="T49" s="2"/>
      <c r="U49" s="2"/>
    </row>
    <row r="50" spans="2:21" ht="59.4" customHeight="1" x14ac:dyDescent="0.3">
      <c r="B50" s="42" t="s">
        <v>25</v>
      </c>
      <c r="C50" s="181" t="s">
        <v>213</v>
      </c>
      <c r="D50" s="181"/>
      <c r="E50" s="181"/>
      <c r="O50" s="2"/>
      <c r="P50" s="2"/>
      <c r="Q50" s="2"/>
      <c r="R50" s="2"/>
      <c r="S50" s="2"/>
      <c r="T50" s="2"/>
      <c r="U50" s="2"/>
    </row>
    <row r="51" spans="2:21" ht="64.2" customHeight="1" x14ac:dyDescent="0.3">
      <c r="B51" s="41" t="s">
        <v>26</v>
      </c>
      <c r="C51" s="182" t="s">
        <v>214</v>
      </c>
      <c r="D51" s="182"/>
      <c r="E51" s="182"/>
    </row>
  </sheetData>
  <sheetProtection algorithmName="SHA-512" hashValue="btk0e6SVhRA7sfinWwGdN3VUCE9wxnbs60p4s+RweUP3QlIdpvuICzRzEHwVO3nQN1v6UIt7VFJGi4LZ/K4yZw==" saltValue="bo7zv8VMBttWtlDZjbqTlQ==" spinCount="100000" sheet="1" objects="1" scenarios="1"/>
  <mergeCells count="10">
    <mergeCell ref="C48:E48"/>
    <mergeCell ref="C49:E49"/>
    <mergeCell ref="C50:E50"/>
    <mergeCell ref="C51:E51"/>
    <mergeCell ref="B1:E1"/>
    <mergeCell ref="B3:E3"/>
    <mergeCell ref="B9:E9"/>
    <mergeCell ref="B33:E33"/>
    <mergeCell ref="B46:E46"/>
    <mergeCell ref="C47:E47"/>
  </mergeCells>
  <pageMargins left="0.22" right="0.75" top="1.86" bottom="1" header="0.511811023622047" footer="0.511811023622047"/>
  <pageSetup paperSize="9" scale="68" fitToHeight="0" orientation="portrait" horizontalDpi="300" verticalDpi="300" r:id="rId1"/>
  <rowBreaks count="2" manualBreakCount="2">
    <brk id="31" max="4" man="1"/>
    <brk id="51" max="4"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2F5496"/>
    <pageSetUpPr fitToPage="1"/>
  </sheetPr>
  <dimension ref="B1:Y38"/>
  <sheetViews>
    <sheetView showGridLines="0" zoomScaleNormal="100" workbookViewId="0">
      <pane xSplit="2" ySplit="5" topLeftCell="C6" activePane="bottomRight" state="frozen"/>
      <selection pane="topRight" activeCell="C1" sqref="C1"/>
      <selection pane="bottomLeft" activeCell="A6" sqref="A6"/>
      <selection pane="bottomRight" activeCell="N17" sqref="N17"/>
    </sheetView>
  </sheetViews>
  <sheetFormatPr defaultColWidth="8.6640625" defaultRowHeight="13.8" x14ac:dyDescent="0.3"/>
  <cols>
    <col min="1" max="1" width="2.33203125" style="44" customWidth="1"/>
    <col min="2" max="2" width="51.109375" style="44" bestFit="1" customWidth="1"/>
    <col min="3" max="10" width="11" style="44" customWidth="1"/>
    <col min="11" max="11" width="12" style="44" bestFit="1" customWidth="1"/>
    <col min="12" max="12" width="14.33203125" style="44" customWidth="1"/>
    <col min="13" max="16" width="11" style="44" customWidth="1"/>
    <col min="17" max="16384" width="8.6640625" style="44"/>
  </cols>
  <sheetData>
    <row r="1" spans="2:25" ht="36" customHeight="1" x14ac:dyDescent="0.3">
      <c r="B1" s="183" t="s">
        <v>27</v>
      </c>
      <c r="C1" s="183"/>
      <c r="D1" s="183"/>
      <c r="E1" s="183"/>
      <c r="F1" s="183"/>
      <c r="G1" s="183"/>
      <c r="H1" s="183"/>
      <c r="I1" s="183"/>
      <c r="J1" s="183"/>
      <c r="K1" s="183"/>
      <c r="L1" s="183"/>
      <c r="M1" s="183"/>
      <c r="N1" s="183"/>
      <c r="O1" s="183"/>
      <c r="P1" s="183"/>
    </row>
    <row r="2" spans="2:25" s="2" customFormat="1" ht="4.95" customHeight="1" x14ac:dyDescent="0.3"/>
    <row r="3" spans="2:25" ht="15" customHeight="1" x14ac:dyDescent="0.3">
      <c r="C3" s="185" t="s">
        <v>28</v>
      </c>
      <c r="D3" s="185"/>
      <c r="E3" s="185"/>
      <c r="F3" s="185"/>
      <c r="G3" s="185"/>
      <c r="H3" s="185"/>
      <c r="I3" s="185"/>
      <c r="J3" s="185"/>
      <c r="K3" s="185"/>
      <c r="L3" s="185"/>
      <c r="M3" s="185"/>
      <c r="N3" s="186" t="s">
        <v>29</v>
      </c>
      <c r="O3" s="186"/>
      <c r="P3" s="186"/>
    </row>
    <row r="4" spans="2:25" ht="28.2" thickBot="1" x14ac:dyDescent="0.35">
      <c r="B4" s="46" t="s">
        <v>30</v>
      </c>
      <c r="C4" s="47">
        <v>42370</v>
      </c>
      <c r="D4" s="68">
        <f>C4+366</f>
        <v>42736</v>
      </c>
      <c r="E4" s="68">
        <f t="shared" ref="E4:K4" si="0">D4+366</f>
        <v>43102</v>
      </c>
      <c r="F4" s="68">
        <f t="shared" si="0"/>
        <v>43468</v>
      </c>
      <c r="G4" s="68">
        <f t="shared" si="0"/>
        <v>43834</v>
      </c>
      <c r="H4" s="68">
        <f t="shared" si="0"/>
        <v>44200</v>
      </c>
      <c r="I4" s="68">
        <f t="shared" si="0"/>
        <v>44566</v>
      </c>
      <c r="J4" s="68">
        <f t="shared" si="0"/>
        <v>44932</v>
      </c>
      <c r="K4" s="69">
        <f t="shared" si="0"/>
        <v>45298</v>
      </c>
      <c r="L4" s="48" t="s">
        <v>170</v>
      </c>
      <c r="M4" s="68">
        <f>J4+732</f>
        <v>45664</v>
      </c>
      <c r="N4" s="70">
        <f>M4+366</f>
        <v>46030</v>
      </c>
      <c r="O4" s="70">
        <f t="shared" ref="O4:P4" si="1">N4+366</f>
        <v>46396</v>
      </c>
      <c r="P4" s="70">
        <f t="shared" si="1"/>
        <v>46762</v>
      </c>
      <c r="Q4" s="49"/>
    </row>
    <row r="6" spans="2:25" ht="15.75" customHeight="1" x14ac:dyDescent="0.3">
      <c r="B6" s="50" t="s">
        <v>31</v>
      </c>
      <c r="C6" s="51"/>
      <c r="D6" s="51"/>
      <c r="E6" s="51"/>
      <c r="F6" s="51"/>
      <c r="G6" s="51"/>
      <c r="H6" s="51"/>
      <c r="I6" s="51"/>
      <c r="J6" s="51"/>
      <c r="K6" s="51"/>
      <c r="L6" s="51"/>
      <c r="M6" s="51"/>
      <c r="N6" s="51"/>
      <c r="O6" s="51"/>
      <c r="P6" s="51"/>
    </row>
    <row r="7" spans="2:25" ht="15.75" customHeight="1" x14ac:dyDescent="0.3">
      <c r="B7" s="52" t="s">
        <v>32</v>
      </c>
      <c r="C7" s="53">
        <v>9141</v>
      </c>
      <c r="D7" s="53">
        <v>10010</v>
      </c>
      <c r="E7" s="53">
        <v>11292</v>
      </c>
      <c r="F7" s="53">
        <v>12369</v>
      </c>
      <c r="G7" s="53">
        <v>13350</v>
      </c>
      <c r="H7" s="53">
        <v>14741</v>
      </c>
      <c r="I7" s="53">
        <v>16897</v>
      </c>
      <c r="J7" s="53">
        <v>19126</v>
      </c>
      <c r="K7" s="53">
        <v>24394</v>
      </c>
      <c r="L7" s="71">
        <f>(K7/15)*12</f>
        <v>19515.2</v>
      </c>
      <c r="M7" s="53">
        <v>20202</v>
      </c>
      <c r="N7" s="72">
        <f>M7*(1+N8)</f>
        <v>22222.2</v>
      </c>
      <c r="O7" s="72">
        <f>N7*(1+O8)</f>
        <v>24666.642000000003</v>
      </c>
      <c r="P7" s="72">
        <f>O7*(1+P8)</f>
        <v>27503.305830000005</v>
      </c>
    </row>
    <row r="8" spans="2:25" ht="15" customHeight="1" x14ac:dyDescent="0.3">
      <c r="B8" s="54" t="s">
        <v>33</v>
      </c>
      <c r="C8" s="55"/>
      <c r="D8" s="73">
        <f t="shared" ref="D8:K8" si="2">(D7-C7)/C7</f>
        <v>9.5066185318892896E-2</v>
      </c>
      <c r="E8" s="73">
        <f t="shared" si="2"/>
        <v>0.12807192807192808</v>
      </c>
      <c r="F8" s="73">
        <f t="shared" si="2"/>
        <v>9.5377258235919235E-2</v>
      </c>
      <c r="G8" s="73">
        <f t="shared" si="2"/>
        <v>7.931118117875334E-2</v>
      </c>
      <c r="H8" s="73">
        <f t="shared" si="2"/>
        <v>0.10419475655430711</v>
      </c>
      <c r="I8" s="73">
        <f t="shared" si="2"/>
        <v>0.14625873414286683</v>
      </c>
      <c r="J8" s="73">
        <f t="shared" si="2"/>
        <v>0.13191690832692193</v>
      </c>
      <c r="K8" s="73">
        <f t="shared" si="2"/>
        <v>0.2754365784795566</v>
      </c>
      <c r="L8" s="73">
        <f>(L7-J7)/J7</f>
        <v>2.0349262783645336E-2</v>
      </c>
      <c r="M8" s="73" t="e">
        <f>NA()</f>
        <v>#N/A</v>
      </c>
      <c r="N8" s="74">
        <f>Dashboard!K31</f>
        <v>0.1</v>
      </c>
      <c r="O8" s="74">
        <f>Assumptions!D7</f>
        <v>0.11</v>
      </c>
      <c r="P8" s="74">
        <f>Assumptions!E7</f>
        <v>0.11499999999999999</v>
      </c>
    </row>
    <row r="9" spans="2:25" ht="15.75" customHeight="1" x14ac:dyDescent="0.3">
      <c r="B9" s="50" t="s">
        <v>34</v>
      </c>
      <c r="C9" s="51"/>
      <c r="D9" s="51"/>
      <c r="E9" s="51"/>
      <c r="F9" s="51"/>
      <c r="G9" s="51"/>
      <c r="H9" s="51"/>
      <c r="I9" s="51"/>
      <c r="J9" s="51"/>
      <c r="K9" s="51"/>
      <c r="L9" s="51"/>
      <c r="M9" s="51"/>
      <c r="N9" s="51"/>
      <c r="O9" s="51"/>
      <c r="P9" s="51"/>
      <c r="R9" s="2"/>
      <c r="S9" s="2"/>
      <c r="T9" s="2"/>
      <c r="U9" s="2"/>
      <c r="V9" s="2"/>
      <c r="W9" s="2"/>
      <c r="X9" s="2"/>
      <c r="Y9" s="2"/>
    </row>
    <row r="10" spans="2:25" ht="15" customHeight="1" x14ac:dyDescent="0.3">
      <c r="B10" s="56" t="s">
        <v>35</v>
      </c>
      <c r="C10" s="57">
        <v>3219</v>
      </c>
      <c r="D10" s="53">
        <v>3618</v>
      </c>
      <c r="E10" s="53">
        <v>3823</v>
      </c>
      <c r="F10" s="53">
        <v>4376</v>
      </c>
      <c r="G10" s="53">
        <v>4833</v>
      </c>
      <c r="H10" s="53">
        <v>5235</v>
      </c>
      <c r="I10" s="53">
        <v>6411</v>
      </c>
      <c r="J10" s="53">
        <v>8433</v>
      </c>
      <c r="K10" s="71">
        <f>K14*50%</f>
        <v>9275.5</v>
      </c>
      <c r="L10" s="71">
        <f>L14*50%</f>
        <v>7420.4</v>
      </c>
      <c r="M10" s="53">
        <v>7507</v>
      </c>
      <c r="N10" s="75">
        <f>N7*0.376</f>
        <v>8355.5472000000009</v>
      </c>
      <c r="O10" s="75">
        <f>O7*0.372</f>
        <v>9175.9908240000004</v>
      </c>
      <c r="P10" s="75">
        <f>P7*0.368</f>
        <v>10121.216545440002</v>
      </c>
      <c r="R10" s="2"/>
      <c r="S10" s="2"/>
      <c r="T10" s="2"/>
      <c r="U10" s="2"/>
      <c r="V10" s="2"/>
      <c r="W10" s="2"/>
      <c r="X10" s="2"/>
      <c r="Y10" s="2"/>
    </row>
    <row r="11" spans="2:25" ht="15" customHeight="1" x14ac:dyDescent="0.3">
      <c r="B11" s="56" t="s">
        <v>36</v>
      </c>
      <c r="C11" s="57">
        <v>1083</v>
      </c>
      <c r="D11" s="53">
        <v>1186</v>
      </c>
      <c r="E11" s="53">
        <v>1294</v>
      </c>
      <c r="F11" s="53">
        <v>1369</v>
      </c>
      <c r="G11" s="53">
        <v>1354</v>
      </c>
      <c r="H11" s="53">
        <v>1757</v>
      </c>
      <c r="I11" s="53">
        <v>2176</v>
      </c>
      <c r="J11" s="53">
        <v>2052</v>
      </c>
      <c r="K11" s="53">
        <v>2597</v>
      </c>
      <c r="L11" s="71">
        <f>(K11/15)*12</f>
        <v>2077.6</v>
      </c>
      <c r="M11" s="53">
        <v>2117</v>
      </c>
      <c r="N11" s="75">
        <f>N7*0.107</f>
        <v>2377.7754</v>
      </c>
      <c r="O11" s="75">
        <f>O7*0.106</f>
        <v>2614.6640520000001</v>
      </c>
      <c r="P11" s="75">
        <f>P7*0.105</f>
        <v>2887.8471121500006</v>
      </c>
      <c r="R11" s="2"/>
      <c r="S11" s="2"/>
      <c r="T11" s="2"/>
      <c r="U11" s="2"/>
      <c r="V11" s="2"/>
      <c r="W11" s="2"/>
      <c r="X11" s="2"/>
      <c r="Y11" s="2"/>
    </row>
    <row r="12" spans="2:25" ht="15" customHeight="1" x14ac:dyDescent="0.3">
      <c r="B12" s="56" t="s">
        <v>37</v>
      </c>
      <c r="C12" s="57">
        <v>901</v>
      </c>
      <c r="D12" s="53">
        <v>1017</v>
      </c>
      <c r="E12" s="53">
        <v>1125</v>
      </c>
      <c r="F12" s="53">
        <v>1258</v>
      </c>
      <c r="G12" s="53">
        <v>1501</v>
      </c>
      <c r="H12" s="53">
        <v>1530</v>
      </c>
      <c r="I12" s="53">
        <v>1636</v>
      </c>
      <c r="J12" s="53">
        <v>1849</v>
      </c>
      <c r="K12" s="71">
        <f>K14*11%</f>
        <v>2040.61</v>
      </c>
      <c r="L12" s="71">
        <f>L14*11%</f>
        <v>1632.4879999999998</v>
      </c>
      <c r="M12" s="53">
        <v>2024</v>
      </c>
      <c r="N12" s="75">
        <f>N7*0.102</f>
        <v>2266.6644000000001</v>
      </c>
      <c r="O12" s="75">
        <f>O7*0.101</f>
        <v>2491.3308420000003</v>
      </c>
      <c r="P12" s="75">
        <f>P7*0.1</f>
        <v>2750.3305830000008</v>
      </c>
      <c r="R12" s="2"/>
      <c r="S12" s="2"/>
      <c r="T12" s="2"/>
      <c r="U12" s="2"/>
      <c r="V12" s="2"/>
      <c r="W12" s="2"/>
      <c r="X12" s="2"/>
      <c r="Y12" s="2"/>
    </row>
    <row r="13" spans="2:25" ht="15" customHeight="1" x14ac:dyDescent="0.3">
      <c r="B13" s="56" t="s">
        <v>38</v>
      </c>
      <c r="C13" s="57">
        <v>2087</v>
      </c>
      <c r="D13" s="53">
        <v>2092</v>
      </c>
      <c r="E13" s="53">
        <v>2433</v>
      </c>
      <c r="F13" s="53">
        <v>2439</v>
      </c>
      <c r="G13" s="53">
        <v>2462</v>
      </c>
      <c r="H13" s="53">
        <v>2658</v>
      </c>
      <c r="I13" s="53">
        <v>2969</v>
      </c>
      <c r="J13" s="53">
        <v>4374</v>
      </c>
      <c r="K13" s="53">
        <v>6122</v>
      </c>
      <c r="L13" s="71">
        <f>(K13/15)*12</f>
        <v>4897.6000000000004</v>
      </c>
      <c r="M13" s="53">
        <v>3784</v>
      </c>
      <c r="N13" s="75">
        <f>N7*0.2</f>
        <v>4444.4400000000005</v>
      </c>
      <c r="O13" s="75">
        <f>O7*0.201</f>
        <v>4957.9950420000014</v>
      </c>
      <c r="P13" s="75">
        <f>P7*0.202</f>
        <v>5555.6677776600018</v>
      </c>
      <c r="R13" s="2"/>
      <c r="S13" s="2"/>
      <c r="T13" s="2"/>
      <c r="U13" s="2"/>
      <c r="V13" s="2"/>
      <c r="W13" s="2"/>
      <c r="X13" s="2"/>
      <c r="Y13" s="2"/>
    </row>
    <row r="14" spans="2:25" ht="15" customHeight="1" x14ac:dyDescent="0.3">
      <c r="B14" s="52" t="s">
        <v>39</v>
      </c>
      <c r="C14" s="76">
        <f t="shared" ref="C14:J14" si="3">C10+C11+C12+C13</f>
        <v>7290</v>
      </c>
      <c r="D14" s="77">
        <f t="shared" si="3"/>
        <v>7913</v>
      </c>
      <c r="E14" s="77">
        <f t="shared" si="3"/>
        <v>8675</v>
      </c>
      <c r="F14" s="77">
        <f t="shared" si="3"/>
        <v>9442</v>
      </c>
      <c r="G14" s="77">
        <f t="shared" si="3"/>
        <v>10150</v>
      </c>
      <c r="H14" s="77">
        <f t="shared" si="3"/>
        <v>11180</v>
      </c>
      <c r="I14" s="77">
        <f t="shared" si="3"/>
        <v>13192</v>
      </c>
      <c r="J14" s="77">
        <f t="shared" si="3"/>
        <v>16708</v>
      </c>
      <c r="K14" s="77">
        <f>K7-K16</f>
        <v>18551</v>
      </c>
      <c r="L14" s="77">
        <f>L7-L16</f>
        <v>14840.8</v>
      </c>
      <c r="M14" s="77">
        <f>M10+M11+M12+M13</f>
        <v>15432</v>
      </c>
      <c r="N14" s="78">
        <f>N10+N11+N12+N13</f>
        <v>17444.427000000003</v>
      </c>
      <c r="O14" s="78">
        <f>O10+O11+O12+O13</f>
        <v>19239.980760000002</v>
      </c>
      <c r="P14" s="78">
        <f>P10+P11+P12+P13</f>
        <v>21315.062018250006</v>
      </c>
      <c r="R14" s="2"/>
      <c r="S14" s="2"/>
      <c r="T14" s="2"/>
      <c r="U14" s="2"/>
      <c r="V14" s="2"/>
      <c r="W14" s="2"/>
      <c r="X14" s="2"/>
      <c r="Y14" s="2"/>
    </row>
    <row r="15" spans="2:25" ht="15.75" customHeight="1" x14ac:dyDescent="0.3">
      <c r="B15" s="50" t="s">
        <v>40</v>
      </c>
      <c r="C15" s="51"/>
      <c r="D15" s="51"/>
      <c r="E15" s="51"/>
      <c r="F15" s="51"/>
      <c r="G15" s="51"/>
      <c r="H15" s="51"/>
      <c r="I15" s="51"/>
      <c r="J15" s="51"/>
      <c r="K15" s="51"/>
      <c r="L15" s="51"/>
      <c r="M15" s="51"/>
      <c r="N15" s="51"/>
      <c r="O15" s="51"/>
      <c r="P15" s="51"/>
      <c r="R15" s="2"/>
      <c r="S15" s="2"/>
      <c r="T15" s="2"/>
      <c r="U15" s="2"/>
      <c r="V15" s="2"/>
      <c r="W15" s="2"/>
      <c r="X15" s="2"/>
      <c r="Y15" s="2"/>
    </row>
    <row r="16" spans="2:25" ht="16.5" customHeight="1" x14ac:dyDescent="0.3">
      <c r="B16" s="58" t="s">
        <v>41</v>
      </c>
      <c r="C16" s="59">
        <v>1850</v>
      </c>
      <c r="D16" s="60">
        <v>2097</v>
      </c>
      <c r="E16" s="60">
        <v>2618</v>
      </c>
      <c r="F16" s="60">
        <v>2926</v>
      </c>
      <c r="G16" s="60">
        <v>3202</v>
      </c>
      <c r="H16" s="60">
        <v>3562</v>
      </c>
      <c r="I16" s="60">
        <v>3706</v>
      </c>
      <c r="J16" s="60">
        <v>4471</v>
      </c>
      <c r="K16" s="60">
        <v>5843</v>
      </c>
      <c r="L16" s="71">
        <f>(K16/15)*12</f>
        <v>4674.4000000000005</v>
      </c>
      <c r="M16" s="60">
        <v>4771</v>
      </c>
      <c r="N16" s="79">
        <f>N7*N17</f>
        <v>4777.7730000000001</v>
      </c>
      <c r="O16" s="79">
        <f>O7*O17</f>
        <v>5426.6612400000004</v>
      </c>
      <c r="P16" s="79">
        <f>P7*P17</f>
        <v>6188.2438117500014</v>
      </c>
      <c r="R16" s="2"/>
      <c r="S16" s="2"/>
      <c r="T16" s="2"/>
      <c r="U16" s="2"/>
      <c r="V16" s="2"/>
      <c r="W16" s="2"/>
      <c r="X16" s="2"/>
      <c r="Y16" s="2"/>
    </row>
    <row r="17" spans="2:25" ht="15" customHeight="1" x14ac:dyDescent="0.3">
      <c r="B17" s="54" t="s">
        <v>42</v>
      </c>
      <c r="C17" s="81">
        <f t="shared" ref="C17:M17" si="4">C16/C7</f>
        <v>0.20238485942457063</v>
      </c>
      <c r="D17" s="73">
        <f t="shared" si="4"/>
        <v>0.20949050949050949</v>
      </c>
      <c r="E17" s="73">
        <f t="shared" si="4"/>
        <v>0.23184555437477861</v>
      </c>
      <c r="F17" s="73">
        <f t="shared" si="4"/>
        <v>0.23655913978494625</v>
      </c>
      <c r="G17" s="73">
        <f t="shared" si="4"/>
        <v>0.23985018726591761</v>
      </c>
      <c r="H17" s="73">
        <f t="shared" si="4"/>
        <v>0.24163896614883656</v>
      </c>
      <c r="I17" s="73">
        <f t="shared" si="4"/>
        <v>0.21932887494821565</v>
      </c>
      <c r="J17" s="73">
        <f t="shared" si="4"/>
        <v>0.2337655547422357</v>
      </c>
      <c r="K17" s="73">
        <f t="shared" si="4"/>
        <v>0.2395261129786013</v>
      </c>
      <c r="L17" s="73">
        <f>L16/L7</f>
        <v>0.23952611297860132</v>
      </c>
      <c r="M17" s="73">
        <f t="shared" si="4"/>
        <v>0.23616473616473616</v>
      </c>
      <c r="N17" s="80">
        <f>Dashboard!K30</f>
        <v>0.215</v>
      </c>
      <c r="O17" s="80">
        <f>Assumptions!D21</f>
        <v>0.22</v>
      </c>
      <c r="P17" s="80">
        <f>Assumptions!E21</f>
        <v>0.22500000000000001</v>
      </c>
      <c r="R17" s="2"/>
      <c r="S17" s="2"/>
      <c r="T17" s="2"/>
      <c r="U17" s="2"/>
      <c r="V17" s="2"/>
      <c r="W17" s="2"/>
      <c r="X17" s="2"/>
      <c r="Y17" s="2"/>
    </row>
    <row r="18" spans="2:25" ht="15" customHeight="1" x14ac:dyDescent="0.3">
      <c r="B18" s="56" t="s">
        <v>43</v>
      </c>
      <c r="C18" s="57">
        <v>354</v>
      </c>
      <c r="D18" s="53">
        <v>342</v>
      </c>
      <c r="E18" s="53">
        <v>336</v>
      </c>
      <c r="F18" s="53">
        <v>370</v>
      </c>
      <c r="G18" s="53">
        <v>370</v>
      </c>
      <c r="H18" s="53">
        <v>391</v>
      </c>
      <c r="I18" s="53">
        <v>403</v>
      </c>
      <c r="J18" s="53">
        <v>429</v>
      </c>
      <c r="K18" s="53">
        <v>568</v>
      </c>
      <c r="L18" s="71">
        <f>(K18/15)*12</f>
        <v>454.4</v>
      </c>
      <c r="M18" s="53">
        <v>540</v>
      </c>
      <c r="N18" s="75">
        <f>Schedules!N9</f>
        <v>509.08199999999999</v>
      </c>
      <c r="O18" s="75">
        <f>Schedules!O9</f>
        <v>625.96531200000004</v>
      </c>
      <c r="P18" s="75">
        <f>Schedules!P9</f>
        <v>742.28600338199999</v>
      </c>
      <c r="R18" s="2"/>
      <c r="S18" s="2"/>
      <c r="T18" s="2"/>
      <c r="U18" s="2"/>
      <c r="V18" s="2"/>
      <c r="W18" s="2"/>
      <c r="X18" s="2"/>
      <c r="Y18" s="2"/>
    </row>
    <row r="19" spans="2:25" ht="15" customHeight="1" x14ac:dyDescent="0.3">
      <c r="B19" s="52" t="s">
        <v>44</v>
      </c>
      <c r="C19" s="76">
        <f t="shared" ref="C19:P19" si="5">C16-C18</f>
        <v>1496</v>
      </c>
      <c r="D19" s="77">
        <f t="shared" si="5"/>
        <v>1755</v>
      </c>
      <c r="E19" s="77">
        <f t="shared" si="5"/>
        <v>2282</v>
      </c>
      <c r="F19" s="77">
        <f t="shared" si="5"/>
        <v>2556</v>
      </c>
      <c r="G19" s="77">
        <f t="shared" si="5"/>
        <v>2832</v>
      </c>
      <c r="H19" s="77">
        <f t="shared" si="5"/>
        <v>3171</v>
      </c>
      <c r="I19" s="77">
        <f t="shared" si="5"/>
        <v>3303</v>
      </c>
      <c r="J19" s="77">
        <f t="shared" si="5"/>
        <v>4042</v>
      </c>
      <c r="K19" s="77">
        <f t="shared" si="5"/>
        <v>5275</v>
      </c>
      <c r="L19" s="77">
        <f t="shared" si="5"/>
        <v>4220.0000000000009</v>
      </c>
      <c r="M19" s="77">
        <f t="shared" si="5"/>
        <v>4231</v>
      </c>
      <c r="N19" s="78">
        <f t="shared" si="5"/>
        <v>4268.6909999999998</v>
      </c>
      <c r="O19" s="78">
        <f t="shared" si="5"/>
        <v>4800.6959280000001</v>
      </c>
      <c r="P19" s="78">
        <f t="shared" si="5"/>
        <v>5445.9578083680017</v>
      </c>
    </row>
    <row r="20" spans="2:25" ht="15" customHeight="1" x14ac:dyDescent="0.3">
      <c r="B20" s="54" t="s">
        <v>45</v>
      </c>
      <c r="C20" s="81">
        <f t="shared" ref="C20:P20" si="6">C19/C7</f>
        <v>0.16365824308062576</v>
      </c>
      <c r="D20" s="81">
        <f t="shared" si="6"/>
        <v>0.17532467532467533</v>
      </c>
      <c r="E20" s="81">
        <f t="shared" si="6"/>
        <v>0.20208997520368402</v>
      </c>
      <c r="F20" s="81">
        <f t="shared" si="6"/>
        <v>0.20664564637399951</v>
      </c>
      <c r="G20" s="81">
        <f t="shared" si="6"/>
        <v>0.21213483146067416</v>
      </c>
      <c r="H20" s="81">
        <f t="shared" si="6"/>
        <v>0.21511430703480089</v>
      </c>
      <c r="I20" s="81">
        <f t="shared" si="6"/>
        <v>0.19547848730543885</v>
      </c>
      <c r="J20" s="81">
        <f t="shared" si="6"/>
        <v>0.2113353550141169</v>
      </c>
      <c r="K20" s="81">
        <f t="shared" si="6"/>
        <v>0.21624169877838814</v>
      </c>
      <c r="L20" s="81">
        <f t="shared" si="6"/>
        <v>0.21624169877838817</v>
      </c>
      <c r="M20" s="81">
        <f t="shared" si="6"/>
        <v>0.20943470943470943</v>
      </c>
      <c r="N20" s="80">
        <f t="shared" si="6"/>
        <v>0.19209128709128709</v>
      </c>
      <c r="O20" s="80">
        <f t="shared" si="6"/>
        <v>0.19462300251489439</v>
      </c>
      <c r="P20" s="80">
        <f t="shared" si="6"/>
        <v>0.19801102609373125</v>
      </c>
    </row>
    <row r="22" spans="2:25" ht="15.75" customHeight="1" x14ac:dyDescent="0.3">
      <c r="B22" s="50" t="s">
        <v>46</v>
      </c>
      <c r="C22" s="51"/>
      <c r="D22" s="51"/>
      <c r="E22" s="51"/>
      <c r="F22" s="51"/>
      <c r="G22" s="51"/>
      <c r="H22" s="51"/>
      <c r="I22" s="51"/>
      <c r="J22" s="51"/>
      <c r="K22" s="51"/>
      <c r="L22" s="51"/>
      <c r="M22" s="51"/>
      <c r="N22" s="51"/>
      <c r="O22" s="51"/>
      <c r="P22" s="51"/>
    </row>
    <row r="23" spans="2:25" ht="15" customHeight="1" x14ac:dyDescent="0.3">
      <c r="B23" s="56" t="s">
        <v>47</v>
      </c>
      <c r="C23" s="57">
        <v>140</v>
      </c>
      <c r="D23" s="53">
        <v>177</v>
      </c>
      <c r="E23" s="53">
        <v>259</v>
      </c>
      <c r="F23" s="53">
        <v>247</v>
      </c>
      <c r="G23" s="53">
        <v>146</v>
      </c>
      <c r="H23" s="53">
        <v>-112</v>
      </c>
      <c r="I23" s="53">
        <v>107</v>
      </c>
      <c r="J23" s="53">
        <v>116</v>
      </c>
      <c r="K23" s="53">
        <v>159</v>
      </c>
      <c r="L23" s="71">
        <f>(K23/15)*12</f>
        <v>127.19999999999999</v>
      </c>
      <c r="M23" s="53">
        <v>352</v>
      </c>
      <c r="N23" s="75">
        <f>N7*Assumptions!C23</f>
        <v>355.55520000000001</v>
      </c>
      <c r="O23" s="75">
        <f>O7*Assumptions!D23</f>
        <v>394.66627200000005</v>
      </c>
      <c r="P23" s="75">
        <f>P7*Assumptions!E23</f>
        <v>412.54958745000005</v>
      </c>
    </row>
    <row r="24" spans="2:25" ht="15" customHeight="1" x14ac:dyDescent="0.3">
      <c r="B24" s="56" t="s">
        <v>48</v>
      </c>
      <c r="C24" s="57">
        <v>91</v>
      </c>
      <c r="D24" s="53">
        <v>92</v>
      </c>
      <c r="E24" s="53">
        <v>112</v>
      </c>
      <c r="F24" s="53">
        <v>129</v>
      </c>
      <c r="G24" s="53">
        <v>164</v>
      </c>
      <c r="H24" s="53">
        <v>202</v>
      </c>
      <c r="I24" s="53">
        <v>155</v>
      </c>
      <c r="J24" s="53">
        <v>119</v>
      </c>
      <c r="K24" s="53">
        <v>145</v>
      </c>
      <c r="L24" s="71">
        <f>(K24/15)*12</f>
        <v>116</v>
      </c>
      <c r="M24" s="53">
        <v>136</v>
      </c>
      <c r="N24" s="75">
        <f>N7*Assumptions!C27</f>
        <v>222.22200000000001</v>
      </c>
      <c r="O24" s="75">
        <f>O7*Assumptions!D27</f>
        <v>221.99977800000002</v>
      </c>
      <c r="P24" s="75">
        <f>P7*Assumptions!E27</f>
        <v>220.02644664000005</v>
      </c>
    </row>
    <row r="25" spans="2:25" ht="15" customHeight="1" x14ac:dyDescent="0.3">
      <c r="B25" s="52" t="s">
        <v>49</v>
      </c>
      <c r="C25" s="76">
        <f t="shared" ref="C25:P25" si="7">C19+C23-C24</f>
        <v>1545</v>
      </c>
      <c r="D25" s="77">
        <f t="shared" si="7"/>
        <v>1840</v>
      </c>
      <c r="E25" s="77">
        <f t="shared" si="7"/>
        <v>2429</v>
      </c>
      <c r="F25" s="77">
        <f t="shared" si="7"/>
        <v>2674</v>
      </c>
      <c r="G25" s="77">
        <f t="shared" si="7"/>
        <v>2814</v>
      </c>
      <c r="H25" s="77">
        <f t="shared" si="7"/>
        <v>2857</v>
      </c>
      <c r="I25" s="77">
        <f t="shared" si="7"/>
        <v>3255</v>
      </c>
      <c r="J25" s="77">
        <f t="shared" si="7"/>
        <v>4039</v>
      </c>
      <c r="K25" s="77">
        <f t="shared" si="7"/>
        <v>5289</v>
      </c>
      <c r="L25" s="77">
        <f t="shared" si="7"/>
        <v>4231.2000000000007</v>
      </c>
      <c r="M25" s="77">
        <f t="shared" si="7"/>
        <v>4447</v>
      </c>
      <c r="N25" s="78">
        <f t="shared" si="7"/>
        <v>4402.0241999999998</v>
      </c>
      <c r="O25" s="78">
        <f t="shared" si="7"/>
        <v>4973.3624220000002</v>
      </c>
      <c r="P25" s="78">
        <f t="shared" si="7"/>
        <v>5638.4809491780015</v>
      </c>
    </row>
    <row r="26" spans="2:25" ht="15" customHeight="1" thickBot="1" x14ac:dyDescent="0.35">
      <c r="B26" s="56" t="s">
        <v>50</v>
      </c>
      <c r="C26" s="57">
        <v>541</v>
      </c>
      <c r="D26" s="53">
        <v>607</v>
      </c>
      <c r="E26" s="53">
        <v>826</v>
      </c>
      <c r="F26" s="53">
        <v>695</v>
      </c>
      <c r="G26" s="53">
        <v>731</v>
      </c>
      <c r="H26" s="53">
        <v>743</v>
      </c>
      <c r="I26" s="53">
        <v>879</v>
      </c>
      <c r="J26" s="53">
        <v>1050</v>
      </c>
      <c r="K26" s="53">
        <v>1375</v>
      </c>
      <c r="L26" s="71">
        <f>(K26/15)*12</f>
        <v>1100</v>
      </c>
      <c r="M26" s="53">
        <v>1112</v>
      </c>
      <c r="N26" s="75">
        <f>N25*Assumptions!C29</f>
        <v>1122.516171</v>
      </c>
      <c r="O26" s="75">
        <f>O25*Assumptions!D29</f>
        <v>1268.20741761</v>
      </c>
      <c r="P26" s="75">
        <f>P25*Assumptions!E29</f>
        <v>1437.8126420403905</v>
      </c>
    </row>
    <row r="27" spans="2:25" ht="16.5" customHeight="1" thickTop="1" thickBot="1" x14ac:dyDescent="0.35">
      <c r="B27" s="58" t="s">
        <v>51</v>
      </c>
      <c r="C27" s="61">
        <v>1001</v>
      </c>
      <c r="D27" s="62">
        <v>1225</v>
      </c>
      <c r="E27" s="62">
        <v>1607</v>
      </c>
      <c r="F27" s="63">
        <v>1968</v>
      </c>
      <c r="G27" s="63">
        <v>2082</v>
      </c>
      <c r="H27" s="63">
        <v>2118</v>
      </c>
      <c r="I27" s="63">
        <v>2391</v>
      </c>
      <c r="J27" s="63">
        <v>2999</v>
      </c>
      <c r="K27" s="63">
        <v>3933</v>
      </c>
      <c r="L27" s="82">
        <f>(K27/15)*12</f>
        <v>3146.3999999999996</v>
      </c>
      <c r="M27" s="63">
        <v>3314</v>
      </c>
      <c r="N27" s="82">
        <f>N25-N26</f>
        <v>3279.5080289999996</v>
      </c>
      <c r="O27" s="82">
        <f>O25-O26</f>
        <v>3705.1550043900002</v>
      </c>
      <c r="P27" s="82">
        <f>P25-P26</f>
        <v>4200.668307137611</v>
      </c>
    </row>
    <row r="28" spans="2:25" ht="15" customHeight="1" thickTop="1" x14ac:dyDescent="0.3">
      <c r="B28" s="54" t="s">
        <v>52</v>
      </c>
      <c r="C28" s="81">
        <f t="shared" ref="C28:P28" si="8">C27/C7</f>
        <v>0.1095066185318893</v>
      </c>
      <c r="D28" s="81">
        <f t="shared" si="8"/>
        <v>0.12237762237762238</v>
      </c>
      <c r="E28" s="81">
        <f t="shared" si="8"/>
        <v>0.14231314204746723</v>
      </c>
      <c r="F28" s="81">
        <f t="shared" si="8"/>
        <v>0.15910744603444094</v>
      </c>
      <c r="G28" s="81">
        <f t="shared" si="8"/>
        <v>0.15595505617977529</v>
      </c>
      <c r="H28" s="81">
        <f t="shared" si="8"/>
        <v>0.14368089003459739</v>
      </c>
      <c r="I28" s="81">
        <f t="shared" si="8"/>
        <v>0.14150440906669823</v>
      </c>
      <c r="J28" s="81">
        <f t="shared" si="8"/>
        <v>0.15680225870542716</v>
      </c>
      <c r="K28" s="81">
        <f t="shared" si="8"/>
        <v>0.16122817086168731</v>
      </c>
      <c r="L28" s="81">
        <f t="shared" si="8"/>
        <v>0.16122817086168728</v>
      </c>
      <c r="M28" s="81">
        <f t="shared" si="8"/>
        <v>0.16404316404316405</v>
      </c>
      <c r="N28" s="80">
        <f t="shared" si="8"/>
        <v>0.14757800888300887</v>
      </c>
      <c r="O28" s="80">
        <f t="shared" si="8"/>
        <v>0.15020913687359633</v>
      </c>
      <c r="P28" s="80">
        <f t="shared" si="8"/>
        <v>0.15273321443982976</v>
      </c>
    </row>
    <row r="30" spans="2:25" ht="15.75" customHeight="1" x14ac:dyDescent="0.3">
      <c r="B30" s="50" t="s">
        <v>53</v>
      </c>
      <c r="C30" s="51"/>
      <c r="D30" s="51"/>
      <c r="E30" s="51"/>
      <c r="F30" s="51"/>
      <c r="G30" s="51"/>
      <c r="H30" s="51"/>
      <c r="I30" s="51"/>
      <c r="J30" s="51"/>
      <c r="K30" s="51"/>
      <c r="L30" s="51"/>
      <c r="M30" s="51"/>
      <c r="N30" s="51"/>
      <c r="O30" s="51"/>
      <c r="P30" s="51"/>
    </row>
    <row r="31" spans="2:25" ht="15" customHeight="1" x14ac:dyDescent="0.3">
      <c r="B31" s="56" t="s">
        <v>54</v>
      </c>
      <c r="C31" s="57">
        <v>564</v>
      </c>
      <c r="D31" s="53">
        <v>829</v>
      </c>
      <c r="E31" s="53">
        <v>1090</v>
      </c>
      <c r="F31" s="53">
        <v>2950</v>
      </c>
      <c r="G31" s="53">
        <v>1890</v>
      </c>
      <c r="H31" s="53">
        <v>1928</v>
      </c>
      <c r="I31" s="53">
        <v>2025</v>
      </c>
      <c r="J31" s="53">
        <v>2333</v>
      </c>
      <c r="K31" s="53">
        <v>3008</v>
      </c>
      <c r="L31" s="71">
        <f>(K31/15)*12</f>
        <v>2406.4</v>
      </c>
      <c r="M31" s="53">
        <v>2459</v>
      </c>
      <c r="N31" s="83">
        <f>N27*N32</f>
        <v>2459.6310217499995</v>
      </c>
      <c r="O31" s="83">
        <f>O27*O32</f>
        <v>2890.0209034242002</v>
      </c>
      <c r="P31" s="83">
        <f>P27*P32</f>
        <v>3360.5346457100891</v>
      </c>
    </row>
    <row r="32" spans="2:25" ht="15" customHeight="1" x14ac:dyDescent="0.3">
      <c r="B32" s="54" t="s">
        <v>55</v>
      </c>
      <c r="C32" s="81">
        <f t="shared" ref="C32:M32" si="9">IF(C27&lt;&gt;0,C31/C27,0)</f>
        <v>0.56343656343656345</v>
      </c>
      <c r="D32" s="81">
        <f t="shared" si="9"/>
        <v>0.67673469387755103</v>
      </c>
      <c r="E32" s="81">
        <f t="shared" si="9"/>
        <v>0.67828251400124451</v>
      </c>
      <c r="F32" s="81">
        <f t="shared" si="9"/>
        <v>1.4989837398373984</v>
      </c>
      <c r="G32" s="81">
        <f t="shared" si="9"/>
        <v>0.90778097982708938</v>
      </c>
      <c r="H32" s="81">
        <f t="shared" si="9"/>
        <v>0.91029272898961289</v>
      </c>
      <c r="I32" s="81">
        <f t="shared" si="9"/>
        <v>0.84692597239648681</v>
      </c>
      <c r="J32" s="81">
        <f t="shared" si="9"/>
        <v>0.77792597532510832</v>
      </c>
      <c r="K32" s="81">
        <f t="shared" si="9"/>
        <v>0.76481057716755663</v>
      </c>
      <c r="L32" s="81">
        <f t="shared" si="9"/>
        <v>0.76481057716755674</v>
      </c>
      <c r="M32" s="81">
        <f t="shared" si="9"/>
        <v>0.7420036210018105</v>
      </c>
      <c r="N32" s="80">
        <f>Assumptions!C31</f>
        <v>0.75</v>
      </c>
      <c r="O32" s="80">
        <f>Assumptions!D31</f>
        <v>0.78</v>
      </c>
      <c r="P32" s="80">
        <f>Assumptions!E31</f>
        <v>0.8</v>
      </c>
    </row>
    <row r="33" spans="2:16" ht="15" customHeight="1" x14ac:dyDescent="0.3">
      <c r="B33" s="52" t="s">
        <v>56</v>
      </c>
      <c r="C33" s="76">
        <f t="shared" ref="C33:P33" si="10">C27-C31</f>
        <v>437</v>
      </c>
      <c r="D33" s="76">
        <f t="shared" si="10"/>
        <v>396</v>
      </c>
      <c r="E33" s="76">
        <f t="shared" si="10"/>
        <v>517</v>
      </c>
      <c r="F33" s="76">
        <f t="shared" si="10"/>
        <v>-982</v>
      </c>
      <c r="G33" s="76">
        <f t="shared" si="10"/>
        <v>192</v>
      </c>
      <c r="H33" s="76">
        <f t="shared" si="10"/>
        <v>190</v>
      </c>
      <c r="I33" s="76">
        <f t="shared" si="10"/>
        <v>366</v>
      </c>
      <c r="J33" s="76">
        <f t="shared" si="10"/>
        <v>666</v>
      </c>
      <c r="K33" s="76">
        <f t="shared" si="10"/>
        <v>925</v>
      </c>
      <c r="L33" s="76">
        <f t="shared" si="10"/>
        <v>739.99999999999955</v>
      </c>
      <c r="M33" s="76">
        <f t="shared" si="10"/>
        <v>855</v>
      </c>
      <c r="N33" s="84">
        <f t="shared" si="10"/>
        <v>819.87700725000013</v>
      </c>
      <c r="O33" s="84">
        <f t="shared" si="10"/>
        <v>815.13410096579992</v>
      </c>
      <c r="P33" s="84">
        <f t="shared" si="10"/>
        <v>840.13366142752193</v>
      </c>
    </row>
    <row r="35" spans="2:16" ht="15.75" customHeight="1" x14ac:dyDescent="0.3">
      <c r="B35" s="50" t="s">
        <v>57</v>
      </c>
      <c r="C35" s="51"/>
      <c r="D35" s="51"/>
      <c r="E35" s="51"/>
      <c r="F35" s="51"/>
      <c r="G35" s="51"/>
      <c r="H35" s="51"/>
      <c r="I35" s="51"/>
      <c r="J35" s="51"/>
      <c r="K35" s="51"/>
      <c r="L35" s="51"/>
      <c r="M35" s="51"/>
      <c r="N35" s="51"/>
      <c r="O35" s="51"/>
      <c r="P35" s="51"/>
    </row>
    <row r="36" spans="2:16" ht="15" customHeight="1" x14ac:dyDescent="0.3">
      <c r="B36" s="56" t="s">
        <v>58</v>
      </c>
      <c r="C36" s="64">
        <v>96.42</v>
      </c>
      <c r="D36" s="53">
        <v>96.42</v>
      </c>
      <c r="E36" s="53">
        <v>96.42</v>
      </c>
      <c r="F36" s="53">
        <v>96.42</v>
      </c>
      <c r="G36" s="53">
        <v>96.42</v>
      </c>
      <c r="H36" s="53">
        <v>96.42</v>
      </c>
      <c r="I36" s="53">
        <v>96.42</v>
      </c>
      <c r="J36" s="53">
        <v>96.42</v>
      </c>
      <c r="K36" s="53">
        <v>96.42</v>
      </c>
      <c r="L36" s="53">
        <v>96.42</v>
      </c>
      <c r="M36" s="53">
        <v>96.42</v>
      </c>
      <c r="N36" s="65">
        <v>96.42</v>
      </c>
      <c r="O36" s="65">
        <v>96.42</v>
      </c>
      <c r="P36" s="65">
        <v>96.42</v>
      </c>
    </row>
    <row r="37" spans="2:16" ht="15" customHeight="1" x14ac:dyDescent="0.3">
      <c r="B37" s="56" t="s">
        <v>59</v>
      </c>
      <c r="C37" s="66">
        <v>5.19</v>
      </c>
      <c r="D37" s="53">
        <v>6.35</v>
      </c>
      <c r="E37" s="53">
        <v>8.33</v>
      </c>
      <c r="F37" s="53">
        <v>10.210000000000001</v>
      </c>
      <c r="G37" s="53">
        <v>10.8</v>
      </c>
      <c r="H37" s="53">
        <v>10.99</v>
      </c>
      <c r="I37" s="53">
        <v>12.4</v>
      </c>
      <c r="J37" s="53">
        <v>15.55</v>
      </c>
      <c r="K37" s="53">
        <v>20.399999999999999</v>
      </c>
      <c r="L37" s="85">
        <f>J37*(1+2%)</f>
        <v>15.861000000000001</v>
      </c>
      <c r="M37" s="71">
        <f>L37*(1+10%)</f>
        <v>17.447100000000002</v>
      </c>
      <c r="N37" s="86">
        <f>M37*(1+10%)</f>
        <v>19.191810000000004</v>
      </c>
      <c r="O37" s="86">
        <f>N37*(1+10%)</f>
        <v>21.110991000000006</v>
      </c>
      <c r="P37" s="86">
        <f>O37*(1+10%)</f>
        <v>23.22209010000001</v>
      </c>
    </row>
    <row r="38" spans="2:16" ht="15" customHeight="1" x14ac:dyDescent="0.3">
      <c r="B38" s="56" t="s">
        <v>60</v>
      </c>
      <c r="C38" s="87">
        <f>C31/C36*100</f>
        <v>584.94088363410083</v>
      </c>
      <c r="D38" s="71">
        <f>D31/D36</f>
        <v>8.5978012860402409</v>
      </c>
      <c r="E38" s="71">
        <f t="shared" ref="E38:P38" si="11">E31/E36</f>
        <v>11.30470856668741</v>
      </c>
      <c r="F38" s="71">
        <f t="shared" si="11"/>
        <v>30.595312175897117</v>
      </c>
      <c r="G38" s="71">
        <f t="shared" si="11"/>
        <v>19.601742377100187</v>
      </c>
      <c r="H38" s="71">
        <f t="shared" si="11"/>
        <v>19.995851483094793</v>
      </c>
      <c r="I38" s="71">
        <f t="shared" si="11"/>
        <v>21.001866832607341</v>
      </c>
      <c r="J38" s="71">
        <f t="shared" si="11"/>
        <v>24.196224849616261</v>
      </c>
      <c r="K38" s="71">
        <f t="shared" si="11"/>
        <v>31.196847127152044</v>
      </c>
      <c r="L38" s="71">
        <f t="shared" si="11"/>
        <v>24.957477701721636</v>
      </c>
      <c r="M38" s="71">
        <f t="shared" si="11"/>
        <v>25.503007674756276</v>
      </c>
      <c r="N38" s="86">
        <f t="shared" si="11"/>
        <v>25.50955218574984</v>
      </c>
      <c r="O38" s="86">
        <f t="shared" si="11"/>
        <v>29.973251435637838</v>
      </c>
      <c r="P38" s="86">
        <f t="shared" si="11"/>
        <v>34.853086970650168</v>
      </c>
    </row>
  </sheetData>
  <sheetProtection algorithmName="SHA-512" hashValue="wpeOLSTcGnTWoFQHLdmzwMFhX0F3EUaJVrOgByjZo8F5dQpftjtfIg3CPwggV9OosibB7dECXn6BaIVnZ9ZvBQ==" saltValue="wZ9dNwhKt6XyPUfv5FhS5Q==" spinCount="100000" sheet="1" objects="1" scenarios="1"/>
  <mergeCells count="3">
    <mergeCell ref="B1:P1"/>
    <mergeCell ref="C3:M3"/>
    <mergeCell ref="N3:P3"/>
  </mergeCells>
  <pageMargins left="0.54" right="0.75" top="1.1599999999999999" bottom="1" header="0.511811023622047" footer="0.511811023622047"/>
  <pageSetup paperSize="9" scale="62" orientation="landscape" horizontalDpi="300" verticalDpi="3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pageSetUpPr fitToPage="1"/>
  </sheetPr>
  <dimension ref="B1:P30"/>
  <sheetViews>
    <sheetView showGridLines="0" zoomScale="112" zoomScaleNormal="112" workbookViewId="0">
      <pane xSplit="2" ySplit="5" topLeftCell="D6" activePane="bottomRight" state="frozen"/>
      <selection pane="topRight" activeCell="C1" sqref="C1"/>
      <selection pane="bottomLeft" activeCell="A6" sqref="A6"/>
      <selection pane="bottomRight" activeCell="B8" sqref="B8"/>
    </sheetView>
  </sheetViews>
  <sheetFormatPr defaultColWidth="8.6640625" defaultRowHeight="13.8" x14ac:dyDescent="0.3"/>
  <cols>
    <col min="1" max="1" width="2.33203125" style="44" customWidth="1"/>
    <col min="2" max="2" width="46.88671875" style="44" customWidth="1"/>
    <col min="3" max="10" width="11" style="44" customWidth="1"/>
    <col min="11" max="11" width="12" style="44" bestFit="1" customWidth="1"/>
    <col min="12" max="12" width="14.77734375" style="44" customWidth="1"/>
    <col min="13" max="16" width="11" style="44" customWidth="1"/>
    <col min="17" max="16384" width="8.6640625" style="44"/>
  </cols>
  <sheetData>
    <row r="1" spans="2:16" ht="36" customHeight="1" x14ac:dyDescent="0.3">
      <c r="B1" s="183" t="s">
        <v>61</v>
      </c>
      <c r="C1" s="183"/>
      <c r="D1" s="183"/>
      <c r="E1" s="183"/>
      <c r="F1" s="183"/>
      <c r="G1" s="183"/>
      <c r="H1" s="183"/>
      <c r="I1" s="183"/>
      <c r="J1" s="183"/>
      <c r="K1" s="183"/>
      <c r="L1" s="183"/>
      <c r="M1" s="183"/>
      <c r="N1" s="183"/>
      <c r="O1" s="183"/>
      <c r="P1" s="183"/>
    </row>
    <row r="2" spans="2:16" s="2" customFormat="1" ht="4.95" customHeight="1" x14ac:dyDescent="0.3"/>
    <row r="3" spans="2:16" ht="15" customHeight="1" x14ac:dyDescent="0.3">
      <c r="C3" s="185" t="s">
        <v>28</v>
      </c>
      <c r="D3" s="185"/>
      <c r="E3" s="185"/>
      <c r="F3" s="185"/>
      <c r="G3" s="185"/>
      <c r="H3" s="185"/>
      <c r="I3" s="185"/>
      <c r="J3" s="185"/>
      <c r="K3" s="185"/>
      <c r="L3" s="185"/>
      <c r="M3" s="185"/>
      <c r="N3" s="186" t="s">
        <v>29</v>
      </c>
      <c r="O3" s="186"/>
      <c r="P3" s="186"/>
    </row>
    <row r="4" spans="2:16" ht="28.2" thickBot="1" x14ac:dyDescent="0.35">
      <c r="B4" s="46" t="s">
        <v>30</v>
      </c>
      <c r="C4" s="68">
        <f>'Income Statement'!C4</f>
        <v>42370</v>
      </c>
      <c r="D4" s="68">
        <f>'Income Statement'!D4</f>
        <v>42736</v>
      </c>
      <c r="E4" s="68">
        <f>'Income Statement'!E4</f>
        <v>43102</v>
      </c>
      <c r="F4" s="68">
        <f>'Income Statement'!F4</f>
        <v>43468</v>
      </c>
      <c r="G4" s="68">
        <f>'Income Statement'!G4</f>
        <v>43834</v>
      </c>
      <c r="H4" s="68">
        <f>'Income Statement'!H4</f>
        <v>44200</v>
      </c>
      <c r="I4" s="68">
        <f>'Income Statement'!I4</f>
        <v>44566</v>
      </c>
      <c r="J4" s="68">
        <f>'Income Statement'!J4</f>
        <v>44932</v>
      </c>
      <c r="K4" s="69">
        <f>'Income Statement'!K4</f>
        <v>45298</v>
      </c>
      <c r="L4" s="88" t="s">
        <v>170</v>
      </c>
      <c r="M4" s="68">
        <f>'Income Statement'!M4</f>
        <v>45664</v>
      </c>
      <c r="N4" s="70">
        <f>'Income Statement'!N4</f>
        <v>46030</v>
      </c>
      <c r="O4" s="70">
        <f>'Income Statement'!O4</f>
        <v>46396</v>
      </c>
      <c r="P4" s="70">
        <f>'Income Statement'!P4</f>
        <v>46762</v>
      </c>
    </row>
    <row r="6" spans="2:16" ht="15.75" customHeight="1" x14ac:dyDescent="0.3">
      <c r="B6" s="50" t="s">
        <v>62</v>
      </c>
      <c r="C6" s="51"/>
      <c r="D6" s="51"/>
      <c r="E6" s="51"/>
      <c r="F6" s="51"/>
      <c r="G6" s="51"/>
      <c r="H6" s="51"/>
      <c r="I6" s="51"/>
      <c r="J6" s="51"/>
      <c r="K6" s="51"/>
      <c r="L6" s="51"/>
      <c r="M6" s="51"/>
      <c r="N6" s="51"/>
      <c r="O6" s="51"/>
      <c r="P6" s="51"/>
    </row>
    <row r="7" spans="2:16" ht="15" customHeight="1" x14ac:dyDescent="0.3">
      <c r="B7" s="56" t="s">
        <v>63</v>
      </c>
      <c r="C7" s="53">
        <v>2877</v>
      </c>
      <c r="D7" s="53">
        <v>2730</v>
      </c>
      <c r="E7" s="53">
        <v>2616</v>
      </c>
      <c r="F7" s="53">
        <v>2401</v>
      </c>
      <c r="G7" s="53">
        <v>2341</v>
      </c>
      <c r="H7" s="53">
        <v>2179</v>
      </c>
      <c r="I7" s="53">
        <v>2995</v>
      </c>
      <c r="J7" s="53">
        <v>3044</v>
      </c>
      <c r="K7" s="53">
        <v>3044</v>
      </c>
      <c r="L7" s="71">
        <f>J10</f>
        <v>3044</v>
      </c>
      <c r="M7" s="53">
        <v>3460</v>
      </c>
      <c r="N7" s="75">
        <f>M10</f>
        <v>5474</v>
      </c>
      <c r="O7" s="75">
        <f>N10</f>
        <v>6520.4719999999998</v>
      </c>
      <c r="P7" s="75">
        <f>O10</f>
        <v>7497.8384179999994</v>
      </c>
    </row>
    <row r="8" spans="2:16" ht="15" customHeight="1" x14ac:dyDescent="0.3">
      <c r="B8" s="56" t="s">
        <v>64</v>
      </c>
      <c r="C8" s="53">
        <v>207</v>
      </c>
      <c r="D8" s="53">
        <v>199</v>
      </c>
      <c r="E8" s="53">
        <v>166</v>
      </c>
      <c r="F8" s="53">
        <v>155</v>
      </c>
      <c r="G8" s="53">
        <v>478</v>
      </c>
      <c r="H8" s="53">
        <v>735</v>
      </c>
      <c r="I8" s="53">
        <v>550</v>
      </c>
      <c r="J8" s="53">
        <v>1371</v>
      </c>
      <c r="K8" s="53">
        <v>1883</v>
      </c>
      <c r="L8" s="71">
        <f>(K8/15)*12</f>
        <v>1506.4</v>
      </c>
      <c r="M8" s="53">
        <v>2009</v>
      </c>
      <c r="N8" s="75">
        <f>'Income Statement'!N7*Assumptions!C36</f>
        <v>1555.5540000000001</v>
      </c>
      <c r="O8" s="75">
        <f>'Income Statement'!O7*Assumptions!D36</f>
        <v>1603.3317300000003</v>
      </c>
      <c r="P8" s="75">
        <f>'Income Statement'!P7*Assumptions!E36</f>
        <v>1512.6818206500002</v>
      </c>
    </row>
    <row r="9" spans="2:16" ht="15" customHeight="1" x14ac:dyDescent="0.3">
      <c r="B9" s="56" t="s">
        <v>43</v>
      </c>
      <c r="C9" s="53">
        <v>354</v>
      </c>
      <c r="D9" s="53">
        <v>342</v>
      </c>
      <c r="E9" s="53">
        <v>336</v>
      </c>
      <c r="F9" s="53">
        <v>370</v>
      </c>
      <c r="G9" s="53">
        <v>370</v>
      </c>
      <c r="H9" s="53">
        <v>391</v>
      </c>
      <c r="I9" s="53">
        <v>403</v>
      </c>
      <c r="J9" s="53">
        <v>429</v>
      </c>
      <c r="K9" s="53">
        <v>568</v>
      </c>
      <c r="L9" s="71">
        <f>(K9/15)*12</f>
        <v>454.4</v>
      </c>
      <c r="M9" s="53">
        <v>540</v>
      </c>
      <c r="N9" s="75">
        <f>N7*Assumptions!C25</f>
        <v>509.08199999999999</v>
      </c>
      <c r="O9" s="75">
        <f>O7*Assumptions!D25</f>
        <v>625.96531200000004</v>
      </c>
      <c r="P9" s="75">
        <f>P7*Assumptions!E25</f>
        <v>742.28600338199999</v>
      </c>
    </row>
    <row r="10" spans="2:16" ht="15" customHeight="1" x14ac:dyDescent="0.3">
      <c r="B10" s="52" t="s">
        <v>65</v>
      </c>
      <c r="C10" s="89">
        <v>2730</v>
      </c>
      <c r="D10" s="89">
        <v>2616</v>
      </c>
      <c r="E10" s="89">
        <v>2401</v>
      </c>
      <c r="F10" s="89">
        <v>2341</v>
      </c>
      <c r="G10" s="89">
        <v>2179</v>
      </c>
      <c r="H10" s="89">
        <v>2995</v>
      </c>
      <c r="I10" s="89">
        <v>3044</v>
      </c>
      <c r="J10" s="89">
        <v>3044</v>
      </c>
      <c r="K10" s="89">
        <v>3460</v>
      </c>
      <c r="L10" s="96">
        <f>L7+L8-L9</f>
        <v>4095.9999999999995</v>
      </c>
      <c r="M10" s="89">
        <v>5474</v>
      </c>
      <c r="N10" s="95">
        <f>N7+N8-N9</f>
        <v>6520.4719999999998</v>
      </c>
      <c r="O10" s="95">
        <f>O7+O8-O9</f>
        <v>7497.8384179999994</v>
      </c>
      <c r="P10" s="95">
        <f>P7+P8-P9</f>
        <v>8268.2342352679989</v>
      </c>
    </row>
    <row r="11" spans="2:16" ht="15" customHeight="1" x14ac:dyDescent="0.3">
      <c r="B11" s="56" t="s">
        <v>66</v>
      </c>
      <c r="C11" s="53">
        <v>188</v>
      </c>
      <c r="D11" s="53">
        <v>94</v>
      </c>
      <c r="E11" s="53">
        <v>105</v>
      </c>
      <c r="F11" s="53">
        <v>143</v>
      </c>
      <c r="G11" s="53">
        <v>639</v>
      </c>
      <c r="H11" s="53">
        <v>246</v>
      </c>
      <c r="I11" s="53">
        <v>358</v>
      </c>
      <c r="J11" s="53">
        <v>358</v>
      </c>
      <c r="K11" s="53">
        <v>1742</v>
      </c>
      <c r="L11" s="71">
        <f>(K11/15)*12</f>
        <v>1393.6000000000001</v>
      </c>
      <c r="M11" s="53">
        <v>1173</v>
      </c>
      <c r="N11" s="90">
        <v>800</v>
      </c>
      <c r="O11" s="90">
        <v>600</v>
      </c>
      <c r="P11" s="90">
        <v>400</v>
      </c>
    </row>
    <row r="12" spans="2:16" ht="15" customHeight="1" x14ac:dyDescent="0.3">
      <c r="B12" s="52" t="s">
        <v>67</v>
      </c>
      <c r="C12" s="77">
        <f t="shared" ref="C12:P12" si="0">C10+C11</f>
        <v>2918</v>
      </c>
      <c r="D12" s="77">
        <f t="shared" si="0"/>
        <v>2710</v>
      </c>
      <c r="E12" s="77">
        <f t="shared" si="0"/>
        <v>2506</v>
      </c>
      <c r="F12" s="77">
        <f t="shared" si="0"/>
        <v>2484</v>
      </c>
      <c r="G12" s="77">
        <f t="shared" si="0"/>
        <v>2818</v>
      </c>
      <c r="H12" s="77">
        <f t="shared" si="0"/>
        <v>3241</v>
      </c>
      <c r="I12" s="77">
        <f t="shared" si="0"/>
        <v>3402</v>
      </c>
      <c r="J12" s="77">
        <f t="shared" si="0"/>
        <v>3402</v>
      </c>
      <c r="K12" s="77">
        <f t="shared" si="0"/>
        <v>5202</v>
      </c>
      <c r="L12" s="77">
        <f t="shared" si="0"/>
        <v>5489.5999999999995</v>
      </c>
      <c r="M12" s="77">
        <f t="shared" si="0"/>
        <v>6647</v>
      </c>
      <c r="N12" s="78">
        <f t="shared" si="0"/>
        <v>7320.4719999999998</v>
      </c>
      <c r="O12" s="78">
        <f t="shared" si="0"/>
        <v>8097.8384179999994</v>
      </c>
      <c r="P12" s="78">
        <f t="shared" si="0"/>
        <v>8668.2342352679989</v>
      </c>
    </row>
    <row r="13" spans="2:16" x14ac:dyDescent="0.3">
      <c r="C13" s="91"/>
      <c r="D13" s="91"/>
      <c r="E13" s="91"/>
      <c r="F13" s="91"/>
      <c r="G13" s="91"/>
      <c r="H13" s="91"/>
      <c r="I13" s="91"/>
      <c r="J13" s="91"/>
      <c r="K13" s="91"/>
      <c r="L13" s="91"/>
      <c r="M13" s="91"/>
      <c r="N13" s="91"/>
      <c r="O13" s="91"/>
      <c r="P13" s="91"/>
    </row>
    <row r="14" spans="2:16" ht="15.75" customHeight="1" x14ac:dyDescent="0.3">
      <c r="B14" s="50" t="s">
        <v>68</v>
      </c>
      <c r="C14" s="92"/>
      <c r="D14" s="92"/>
      <c r="E14" s="92"/>
      <c r="F14" s="92"/>
      <c r="G14" s="92"/>
      <c r="H14" s="92"/>
      <c r="I14" s="92"/>
      <c r="J14" s="92"/>
      <c r="K14" s="92"/>
      <c r="L14" s="92"/>
      <c r="M14" s="92"/>
      <c r="N14" s="92"/>
      <c r="O14" s="92"/>
      <c r="P14" s="92"/>
    </row>
    <row r="15" spans="2:16" ht="15" customHeight="1" x14ac:dyDescent="0.3">
      <c r="B15" s="56" t="s">
        <v>69</v>
      </c>
      <c r="C15" s="53">
        <v>3095.12</v>
      </c>
      <c r="D15" s="53">
        <v>3358.43</v>
      </c>
      <c r="E15" s="53">
        <v>3485.42</v>
      </c>
      <c r="F15" s="53">
        <v>3865.18</v>
      </c>
      <c r="G15" s="53">
        <v>3998.27</v>
      </c>
      <c r="H15" s="53">
        <v>5118.74</v>
      </c>
      <c r="I15" s="53">
        <v>5474</v>
      </c>
      <c r="J15" s="71">
        <f>I15+J8</f>
        <v>6845</v>
      </c>
      <c r="K15" s="53">
        <v>6333.68</v>
      </c>
      <c r="L15" s="71">
        <f>J15+L8</f>
        <v>8351.4</v>
      </c>
      <c r="M15" s="53">
        <v>8796.02</v>
      </c>
      <c r="N15" s="97">
        <f>M15+N8</f>
        <v>10351.574000000001</v>
      </c>
      <c r="O15" s="97">
        <f t="shared" ref="O15:P15" si="1">N15+O8</f>
        <v>11954.90573</v>
      </c>
      <c r="P15" s="97">
        <f t="shared" si="1"/>
        <v>13467.587550650002</v>
      </c>
    </row>
    <row r="16" spans="2:16" ht="15" customHeight="1" x14ac:dyDescent="0.3">
      <c r="B16" s="56" t="s">
        <v>70</v>
      </c>
      <c r="C16" s="53">
        <v>364.98</v>
      </c>
      <c r="D16" s="53">
        <v>742.25</v>
      </c>
      <c r="E16" s="53">
        <v>1084.8</v>
      </c>
      <c r="F16" s="53">
        <v>1523.73</v>
      </c>
      <c r="G16" s="53">
        <v>1818.86</v>
      </c>
      <c r="H16" s="53">
        <v>2124.0700000000002</v>
      </c>
      <c r="I16" s="53">
        <v>2430.3000000000002</v>
      </c>
      <c r="J16" s="71">
        <f>J15-J10</f>
        <v>3801</v>
      </c>
      <c r="K16" s="53">
        <v>2873.43</v>
      </c>
      <c r="L16" s="71">
        <f>L15-L10</f>
        <v>4255.3999999999996</v>
      </c>
      <c r="M16" s="53">
        <v>3322.41</v>
      </c>
      <c r="N16" s="97">
        <f>M16+N9</f>
        <v>3831.4919999999997</v>
      </c>
      <c r="O16" s="97">
        <f>N16+O9</f>
        <v>4457.4573119999995</v>
      </c>
      <c r="P16" s="97">
        <f t="shared" ref="P16" si="2">O16+P9</f>
        <v>5199.7433153819993</v>
      </c>
    </row>
    <row r="17" spans="2:16" ht="15" customHeight="1" x14ac:dyDescent="0.3">
      <c r="B17" s="54" t="s">
        <v>71</v>
      </c>
      <c r="C17" s="98">
        <f t="shared" ref="C17:G17" si="3">C15-C16</f>
        <v>2730.14</v>
      </c>
      <c r="D17" s="98">
        <f>D15-D16</f>
        <v>2616.1799999999998</v>
      </c>
      <c r="E17" s="98">
        <f t="shared" si="3"/>
        <v>2400.62</v>
      </c>
      <c r="F17" s="98">
        <f t="shared" si="3"/>
        <v>2341.4499999999998</v>
      </c>
      <c r="G17" s="98">
        <f t="shared" si="3"/>
        <v>2179.41</v>
      </c>
      <c r="H17" s="98">
        <f>H15-H16</f>
        <v>2994.6699999999996</v>
      </c>
      <c r="I17" s="98">
        <f>I15-I16</f>
        <v>3043.7</v>
      </c>
      <c r="J17" s="98">
        <f>J15-J16</f>
        <v>3044</v>
      </c>
      <c r="K17" s="98">
        <f>K15-K16</f>
        <v>3460.2500000000005</v>
      </c>
      <c r="L17" s="98">
        <f>L10</f>
        <v>4095.9999999999995</v>
      </c>
      <c r="M17" s="98">
        <f>M15-M16</f>
        <v>5473.6100000000006</v>
      </c>
      <c r="N17" s="97">
        <f>N15-N16</f>
        <v>6520.0820000000003</v>
      </c>
      <c r="O17" s="97">
        <f t="shared" ref="O17:P17" si="4">O15-O16</f>
        <v>7497.4484180000009</v>
      </c>
      <c r="P17" s="97">
        <f t="shared" si="4"/>
        <v>8267.8442352680031</v>
      </c>
    </row>
    <row r="18" spans="2:16" x14ac:dyDescent="0.3">
      <c r="C18" s="91"/>
      <c r="D18" s="91"/>
      <c r="E18" s="91"/>
      <c r="F18" s="91"/>
      <c r="G18" s="91"/>
      <c r="H18" s="91"/>
      <c r="I18" s="91"/>
      <c r="J18" s="91"/>
      <c r="K18" s="91"/>
      <c r="L18" s="91"/>
      <c r="M18" s="91"/>
      <c r="N18" s="91"/>
      <c r="O18" s="91"/>
      <c r="P18" s="91"/>
    </row>
    <row r="19" spans="2:16" ht="15.75" customHeight="1" x14ac:dyDescent="0.3">
      <c r="B19" s="50" t="s">
        <v>72</v>
      </c>
      <c r="C19" s="92"/>
      <c r="D19" s="92"/>
      <c r="E19" s="92"/>
      <c r="F19" s="92"/>
      <c r="G19" s="92"/>
      <c r="H19" s="92"/>
      <c r="I19" s="92"/>
      <c r="J19" s="92"/>
      <c r="K19" s="92"/>
      <c r="L19" s="92"/>
      <c r="M19" s="92"/>
      <c r="N19" s="92"/>
      <c r="O19" s="92"/>
      <c r="P19" s="92"/>
    </row>
    <row r="20" spans="2:16" ht="15" customHeight="1" x14ac:dyDescent="0.3">
      <c r="B20" s="56" t="s">
        <v>73</v>
      </c>
      <c r="C20" s="53">
        <v>98</v>
      </c>
      <c r="D20" s="53">
        <v>89</v>
      </c>
      <c r="E20" s="53">
        <v>125</v>
      </c>
      <c r="F20" s="53">
        <v>124</v>
      </c>
      <c r="G20" s="53">
        <v>165</v>
      </c>
      <c r="H20" s="53">
        <v>166</v>
      </c>
      <c r="I20" s="53">
        <v>192</v>
      </c>
      <c r="J20" s="53">
        <v>192</v>
      </c>
      <c r="K20" s="53">
        <v>300</v>
      </c>
      <c r="L20" s="71">
        <f>'Income Statement'!L7*1%</f>
        <v>195.15200000000002</v>
      </c>
      <c r="M20" s="53">
        <v>363</v>
      </c>
      <c r="N20" s="75">
        <f>'Income Statement'!N7/365*Assumptions!C37</f>
        <v>426.17917808219181</v>
      </c>
      <c r="O20" s="75">
        <f>'Income Statement'!O7/365*Assumptions!D37</f>
        <v>473.05888767123292</v>
      </c>
      <c r="P20" s="75">
        <f>'Income Statement'!P7/365*Assumptions!E37</f>
        <v>527.46065975342481</v>
      </c>
    </row>
    <row r="21" spans="2:16" ht="15" customHeight="1" x14ac:dyDescent="0.3">
      <c r="B21" s="56" t="s">
        <v>74</v>
      </c>
      <c r="C21" s="53">
        <v>940</v>
      </c>
      <c r="D21" s="53">
        <v>902</v>
      </c>
      <c r="E21" s="53">
        <v>966</v>
      </c>
      <c r="F21" s="53">
        <v>1283</v>
      </c>
      <c r="G21" s="53">
        <v>1416</v>
      </c>
      <c r="H21" s="53">
        <v>1593</v>
      </c>
      <c r="I21" s="53">
        <v>1929</v>
      </c>
      <c r="J21" s="53">
        <v>1929</v>
      </c>
      <c r="K21" s="53">
        <v>2089</v>
      </c>
      <c r="L21" s="71">
        <f>'Income Statement'!L7*10.1%</f>
        <v>1971.0352</v>
      </c>
      <c r="M21" s="53">
        <v>2850</v>
      </c>
      <c r="N21" s="75">
        <f>'Income Statement'!N7/365*Assumptions!C38</f>
        <v>3165.9024657534251</v>
      </c>
      <c r="O21" s="75">
        <f>'Income Statement'!O7/365*Assumptions!D38</f>
        <v>3446.5718958904113</v>
      </c>
      <c r="P21" s="75">
        <f>'Income Statement'!P7/365*Assumptions!E38</f>
        <v>3767.5761410958912</v>
      </c>
    </row>
    <row r="22" spans="2:16" ht="15" customHeight="1" x14ac:dyDescent="0.3">
      <c r="B22" s="56" t="s">
        <v>75</v>
      </c>
      <c r="C22" s="53">
        <v>824</v>
      </c>
      <c r="D22" s="53">
        <v>1002</v>
      </c>
      <c r="E22" s="53">
        <v>1281</v>
      </c>
      <c r="F22" s="53">
        <v>1529</v>
      </c>
      <c r="G22" s="53">
        <v>1570</v>
      </c>
      <c r="H22" s="53">
        <v>1817</v>
      </c>
      <c r="I22" s="53">
        <v>2235</v>
      </c>
      <c r="J22" s="53">
        <v>2121</v>
      </c>
      <c r="K22" s="53">
        <v>2828</v>
      </c>
      <c r="L22" s="71">
        <f>'Income Statement'!L7*11.1%</f>
        <v>2166.1872000000003</v>
      </c>
      <c r="M22" s="53">
        <v>2651</v>
      </c>
      <c r="N22" s="75">
        <f>'Income Statement'!N7/365*Assumptions!C39</f>
        <v>3044.1369863013701</v>
      </c>
      <c r="O22" s="75">
        <f>'Income Statement'!O7/365*Assumptions!D39</f>
        <v>3446.5718958904113</v>
      </c>
      <c r="P22" s="75">
        <f>'Income Statement'!P7/365*Assumptions!E39</f>
        <v>3918.2791867397268</v>
      </c>
    </row>
    <row r="23" spans="2:16" ht="15" customHeight="1" x14ac:dyDescent="0.3">
      <c r="B23" s="52" t="s">
        <v>76</v>
      </c>
      <c r="C23" s="77">
        <f t="shared" ref="C23:P23" si="5">C20+C21-C22</f>
        <v>214</v>
      </c>
      <c r="D23" s="77">
        <f t="shared" si="5"/>
        <v>-11</v>
      </c>
      <c r="E23" s="77">
        <f t="shared" si="5"/>
        <v>-190</v>
      </c>
      <c r="F23" s="77">
        <f t="shared" si="5"/>
        <v>-122</v>
      </c>
      <c r="G23" s="77">
        <f t="shared" si="5"/>
        <v>11</v>
      </c>
      <c r="H23" s="77">
        <f t="shared" si="5"/>
        <v>-58</v>
      </c>
      <c r="I23" s="77">
        <f t="shared" si="5"/>
        <v>-114</v>
      </c>
      <c r="J23" s="77">
        <f>J20+J21-J22</f>
        <v>0</v>
      </c>
      <c r="K23" s="77">
        <f t="shared" si="5"/>
        <v>-439</v>
      </c>
      <c r="L23" s="77">
        <f>L20+L21-L22</f>
        <v>0</v>
      </c>
      <c r="M23" s="77">
        <f t="shared" si="5"/>
        <v>562</v>
      </c>
      <c r="N23" s="78">
        <f>N20+N21-N22</f>
        <v>547.94465753424674</v>
      </c>
      <c r="O23" s="78">
        <f t="shared" si="5"/>
        <v>473.05888767123315</v>
      </c>
      <c r="P23" s="78">
        <f t="shared" si="5"/>
        <v>376.75761410958921</v>
      </c>
    </row>
    <row r="24" spans="2:16" ht="15" customHeight="1" x14ac:dyDescent="0.3">
      <c r="B24" s="52" t="s">
        <v>77</v>
      </c>
      <c r="C24" s="93">
        <v>0</v>
      </c>
      <c r="D24" s="99">
        <f t="shared" ref="D24:I24" si="6">D23-C23</f>
        <v>-225</v>
      </c>
      <c r="E24" s="99">
        <f t="shared" si="6"/>
        <v>-179</v>
      </c>
      <c r="F24" s="99">
        <f t="shared" si="6"/>
        <v>68</v>
      </c>
      <c r="G24" s="99">
        <f t="shared" si="6"/>
        <v>133</v>
      </c>
      <c r="H24" s="99">
        <f t="shared" si="6"/>
        <v>-69</v>
      </c>
      <c r="I24" s="99">
        <f t="shared" si="6"/>
        <v>-56</v>
      </c>
      <c r="J24" s="99">
        <f>J23-I23</f>
        <v>114</v>
      </c>
      <c r="K24" s="99">
        <f t="shared" ref="K24:P24" si="7">K23-J23</f>
        <v>-439</v>
      </c>
      <c r="L24" s="99">
        <f t="shared" si="7"/>
        <v>439</v>
      </c>
      <c r="M24" s="99">
        <f t="shared" si="7"/>
        <v>562</v>
      </c>
      <c r="N24" s="100">
        <f t="shared" si="7"/>
        <v>-14.055342465753256</v>
      </c>
      <c r="O24" s="100">
        <f t="shared" si="7"/>
        <v>-74.885769863013593</v>
      </c>
      <c r="P24" s="100">
        <f t="shared" si="7"/>
        <v>-96.301273561643939</v>
      </c>
    </row>
    <row r="25" spans="2:16" x14ac:dyDescent="0.3">
      <c r="C25" s="91"/>
      <c r="D25" s="91"/>
      <c r="E25" s="91"/>
      <c r="F25" s="91"/>
      <c r="G25" s="91"/>
      <c r="H25" s="91"/>
      <c r="I25" s="91"/>
      <c r="J25" s="91"/>
      <c r="K25" s="91"/>
      <c r="L25" s="91"/>
      <c r="M25" s="91"/>
      <c r="N25" s="91"/>
      <c r="O25" s="91"/>
      <c r="P25" s="91"/>
    </row>
    <row r="26" spans="2:16" ht="15.75" customHeight="1" x14ac:dyDescent="0.3">
      <c r="B26" s="50" t="s">
        <v>78</v>
      </c>
      <c r="C26" s="92"/>
      <c r="D26" s="92"/>
      <c r="E26" s="92"/>
      <c r="F26" s="92"/>
      <c r="G26" s="92"/>
      <c r="H26" s="92"/>
      <c r="I26" s="92"/>
      <c r="J26" s="92"/>
      <c r="K26" s="92"/>
      <c r="L26" s="92"/>
      <c r="M26" s="92"/>
      <c r="N26" s="92"/>
      <c r="O26" s="92"/>
      <c r="P26" s="92"/>
    </row>
    <row r="27" spans="2:16" ht="15" customHeight="1" x14ac:dyDescent="0.3">
      <c r="B27" s="56" t="s">
        <v>79</v>
      </c>
      <c r="C27" s="53">
        <v>33</v>
      </c>
      <c r="D27" s="53">
        <v>35</v>
      </c>
      <c r="E27" s="53">
        <v>35</v>
      </c>
      <c r="F27" s="53">
        <v>53</v>
      </c>
      <c r="G27" s="53">
        <v>32</v>
      </c>
      <c r="H27" s="53">
        <v>27</v>
      </c>
      <c r="I27" s="53">
        <v>27</v>
      </c>
      <c r="J27" s="53">
        <v>27</v>
      </c>
      <c r="K27" s="53">
        <v>25</v>
      </c>
      <c r="L27" s="71">
        <f>K27</f>
        <v>25</v>
      </c>
      <c r="M27" s="53">
        <v>22</v>
      </c>
      <c r="N27" s="65">
        <v>20</v>
      </c>
      <c r="O27" s="65">
        <v>18</v>
      </c>
      <c r="P27" s="65">
        <v>15</v>
      </c>
    </row>
    <row r="28" spans="2:16" ht="15" customHeight="1" x14ac:dyDescent="0.3">
      <c r="B28" s="56" t="s">
        <v>80</v>
      </c>
      <c r="C28" s="53">
        <v>0</v>
      </c>
      <c r="D28" s="53">
        <v>0</v>
      </c>
      <c r="E28" s="53">
        <v>0</v>
      </c>
      <c r="F28" s="53">
        <v>0</v>
      </c>
      <c r="G28" s="53">
        <v>3</v>
      </c>
      <c r="H28" s="53">
        <v>7</v>
      </c>
      <c r="I28" s="53">
        <v>3</v>
      </c>
      <c r="J28" s="53">
        <v>3</v>
      </c>
      <c r="K28" s="53">
        <v>6</v>
      </c>
      <c r="L28" s="71">
        <f>K28</f>
        <v>6</v>
      </c>
      <c r="M28" s="53">
        <v>731</v>
      </c>
      <c r="N28" s="65">
        <v>430</v>
      </c>
      <c r="O28" s="65">
        <v>330</v>
      </c>
      <c r="P28" s="65">
        <v>285</v>
      </c>
    </row>
    <row r="29" spans="2:16" ht="15" customHeight="1" x14ac:dyDescent="0.3">
      <c r="B29" s="56" t="s">
        <v>81</v>
      </c>
      <c r="C29" s="53">
        <v>0</v>
      </c>
      <c r="D29" s="53">
        <v>0</v>
      </c>
      <c r="E29" s="53">
        <v>0</v>
      </c>
      <c r="F29" s="53">
        <v>136</v>
      </c>
      <c r="G29" s="53">
        <v>113</v>
      </c>
      <c r="H29" s="53">
        <v>232</v>
      </c>
      <c r="I29" s="53">
        <v>240</v>
      </c>
      <c r="J29" s="53">
        <v>240</v>
      </c>
      <c r="K29" s="53">
        <v>313</v>
      </c>
      <c r="L29" s="71">
        <f>K29</f>
        <v>313</v>
      </c>
      <c r="M29" s="53">
        <v>414</v>
      </c>
      <c r="N29" s="65">
        <v>450</v>
      </c>
      <c r="O29" s="65">
        <v>452</v>
      </c>
      <c r="P29" s="65">
        <v>450</v>
      </c>
    </row>
    <row r="30" spans="2:16" ht="15" customHeight="1" x14ac:dyDescent="0.3">
      <c r="B30" s="52" t="s">
        <v>82</v>
      </c>
      <c r="C30" s="94">
        <v>33</v>
      </c>
      <c r="D30" s="94">
        <v>35</v>
      </c>
      <c r="E30" s="94">
        <v>35</v>
      </c>
      <c r="F30" s="94">
        <v>189</v>
      </c>
      <c r="G30" s="94">
        <v>147</v>
      </c>
      <c r="H30" s="94">
        <v>266</v>
      </c>
      <c r="I30" s="94">
        <v>271</v>
      </c>
      <c r="J30" s="94">
        <v>271</v>
      </c>
      <c r="K30" s="94">
        <v>345</v>
      </c>
      <c r="L30" s="101">
        <f>K30</f>
        <v>345</v>
      </c>
      <c r="M30" s="94">
        <v>1167</v>
      </c>
      <c r="N30" s="78">
        <f>SUM(N27:N29)</f>
        <v>900</v>
      </c>
      <c r="O30" s="78">
        <f>SUM(O27:O29)</f>
        <v>800</v>
      </c>
      <c r="P30" s="78">
        <f>SUM(P27:P29)</f>
        <v>750</v>
      </c>
    </row>
  </sheetData>
  <sheetProtection algorithmName="SHA-512" hashValue="SSQxxpSzX5L42L/jbrDNnBuIqO90sqKIRi6nxli+SW9L6l8I9Z3EgKGLP4jYkz0WC47cnar8bM4BcBuke5x58A==" saltValue="kmCeL2+eVo/XLuFsLn72Lw==" spinCount="100000" sheet="1" objects="1" scenarios="1"/>
  <mergeCells count="3">
    <mergeCell ref="B1:P1"/>
    <mergeCell ref="C3:M3"/>
    <mergeCell ref="N3:P3"/>
  </mergeCells>
  <pageMargins left="0.75" right="0.75" top="1.39" bottom="1" header="0.511811023622047" footer="0.511811023622047"/>
  <pageSetup paperSize="9" scale="62" orientation="landscape"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375623"/>
    <pageSetUpPr fitToPage="1"/>
  </sheetPr>
  <dimension ref="B1:P43"/>
  <sheetViews>
    <sheetView showGridLines="0" zoomScale="106" zoomScaleNormal="115" workbookViewId="0">
      <pane xSplit="2" ySplit="5" topLeftCell="C6" activePane="bottomRight" state="frozen"/>
      <selection pane="topRight" activeCell="C1" sqref="C1"/>
      <selection pane="bottomLeft" activeCell="A6" sqref="A6"/>
      <selection pane="bottomRight" activeCell="B5" sqref="B5"/>
    </sheetView>
  </sheetViews>
  <sheetFormatPr defaultColWidth="8.6640625" defaultRowHeight="13.8" x14ac:dyDescent="0.3"/>
  <cols>
    <col min="1" max="1" width="2.33203125" style="44" customWidth="1"/>
    <col min="2" max="2" width="46.33203125" style="44" customWidth="1"/>
    <col min="3" max="10" width="11" style="44" customWidth="1"/>
    <col min="11" max="11" width="12" style="44" bestFit="1" customWidth="1"/>
    <col min="12" max="12" width="14.109375" style="44" customWidth="1"/>
    <col min="13" max="16" width="11" style="44" customWidth="1"/>
    <col min="17" max="16384" width="8.6640625" style="44"/>
  </cols>
  <sheetData>
    <row r="1" spans="2:16" ht="36" customHeight="1" x14ac:dyDescent="0.3">
      <c r="B1" s="183" t="s">
        <v>83</v>
      </c>
      <c r="C1" s="183"/>
      <c r="D1" s="183"/>
      <c r="E1" s="183"/>
      <c r="F1" s="183"/>
      <c r="G1" s="183"/>
      <c r="H1" s="183"/>
      <c r="I1" s="183"/>
      <c r="J1" s="183"/>
      <c r="K1" s="183"/>
      <c r="L1" s="183"/>
      <c r="M1" s="183"/>
      <c r="N1" s="183"/>
      <c r="O1" s="183"/>
      <c r="P1" s="183"/>
    </row>
    <row r="2" spans="2:16" s="2" customFormat="1" ht="4.95" customHeight="1" x14ac:dyDescent="0.3"/>
    <row r="3" spans="2:16" ht="15" customHeight="1" x14ac:dyDescent="0.3">
      <c r="C3" s="185" t="s">
        <v>28</v>
      </c>
      <c r="D3" s="185"/>
      <c r="E3" s="185"/>
      <c r="F3" s="185"/>
      <c r="G3" s="185"/>
      <c r="H3" s="185"/>
      <c r="I3" s="185"/>
      <c r="J3" s="185"/>
      <c r="K3" s="185"/>
      <c r="L3" s="185"/>
      <c r="M3" s="185"/>
      <c r="N3" s="186" t="s">
        <v>29</v>
      </c>
      <c r="O3" s="186"/>
      <c r="P3" s="186"/>
    </row>
    <row r="4" spans="2:16" ht="28.2" thickBot="1" x14ac:dyDescent="0.35">
      <c r="B4" s="46" t="s">
        <v>30</v>
      </c>
      <c r="C4" s="68">
        <f>'Cash Flow'!C4</f>
        <v>42370</v>
      </c>
      <c r="D4" s="68">
        <f>'Cash Flow'!D4</f>
        <v>42736</v>
      </c>
      <c r="E4" s="68">
        <f>'Cash Flow'!E4</f>
        <v>43102</v>
      </c>
      <c r="F4" s="68">
        <f>'Cash Flow'!F4</f>
        <v>43468</v>
      </c>
      <c r="G4" s="68">
        <f>'Cash Flow'!G4</f>
        <v>43834</v>
      </c>
      <c r="H4" s="68">
        <f>'Cash Flow'!H4</f>
        <v>44200</v>
      </c>
      <c r="I4" s="68">
        <f>'Cash Flow'!I4</f>
        <v>44566</v>
      </c>
      <c r="J4" s="68">
        <f>'Cash Flow'!J4</f>
        <v>44932</v>
      </c>
      <c r="K4" s="69">
        <f>'Cash Flow'!K4</f>
        <v>45298</v>
      </c>
      <c r="L4" s="48" t="s">
        <v>170</v>
      </c>
      <c r="M4" s="68">
        <f>'Cash Flow'!M4</f>
        <v>45664</v>
      </c>
      <c r="N4" s="70">
        <f>'Cash Flow'!N4</f>
        <v>46030</v>
      </c>
      <c r="O4" s="70">
        <f>'Cash Flow'!O4</f>
        <v>46396</v>
      </c>
      <c r="P4" s="70">
        <f>'Cash Flow'!P4</f>
        <v>46762</v>
      </c>
    </row>
    <row r="6" spans="2:16" ht="15.75" customHeight="1" x14ac:dyDescent="0.3">
      <c r="B6" s="50" t="s">
        <v>84</v>
      </c>
      <c r="C6" s="51"/>
      <c r="D6" s="51"/>
      <c r="E6" s="51"/>
      <c r="F6" s="51"/>
      <c r="G6" s="51"/>
      <c r="H6" s="51"/>
      <c r="I6" s="51"/>
      <c r="J6" s="51"/>
      <c r="K6" s="51"/>
      <c r="L6" s="51"/>
      <c r="M6" s="51"/>
      <c r="N6" s="51"/>
      <c r="O6" s="51"/>
      <c r="P6" s="51"/>
    </row>
    <row r="7" spans="2:16" ht="15" customHeight="1" x14ac:dyDescent="0.3">
      <c r="B7" s="102" t="s">
        <v>85</v>
      </c>
      <c r="C7" s="103"/>
      <c r="D7" s="103"/>
      <c r="E7" s="103"/>
      <c r="F7" s="103"/>
      <c r="G7" s="103"/>
      <c r="H7" s="103"/>
      <c r="I7" s="103"/>
      <c r="J7" s="103"/>
      <c r="K7" s="103"/>
      <c r="L7" s="103"/>
      <c r="M7" s="103"/>
      <c r="N7" s="103"/>
      <c r="O7" s="103"/>
      <c r="P7" s="103"/>
    </row>
    <row r="8" spans="2:16" ht="15" customHeight="1" x14ac:dyDescent="0.3">
      <c r="B8" s="56" t="s">
        <v>86</v>
      </c>
      <c r="C8" s="53">
        <v>2730</v>
      </c>
      <c r="D8" s="53">
        <v>2616</v>
      </c>
      <c r="E8" s="53">
        <v>2401</v>
      </c>
      <c r="F8" s="53">
        <v>2341</v>
      </c>
      <c r="G8" s="53">
        <v>2179</v>
      </c>
      <c r="H8" s="53">
        <v>2995</v>
      </c>
      <c r="I8" s="53">
        <v>3044</v>
      </c>
      <c r="J8" s="53">
        <v>3044</v>
      </c>
      <c r="K8" s="53">
        <v>3460</v>
      </c>
      <c r="L8" s="71">
        <f>Schedules!L10</f>
        <v>4095.9999999999995</v>
      </c>
      <c r="M8" s="53">
        <v>5474</v>
      </c>
      <c r="N8" s="75">
        <f>Schedules!N10</f>
        <v>6520.4719999999998</v>
      </c>
      <c r="O8" s="75">
        <f>Schedules!O10</f>
        <v>7497.8384179999994</v>
      </c>
      <c r="P8" s="75">
        <f>Schedules!P10</f>
        <v>8268.2342352679989</v>
      </c>
    </row>
    <row r="9" spans="2:16" ht="15" customHeight="1" x14ac:dyDescent="0.3">
      <c r="B9" s="56" t="s">
        <v>87</v>
      </c>
      <c r="C9" s="53">
        <v>188</v>
      </c>
      <c r="D9" s="53">
        <v>94</v>
      </c>
      <c r="E9" s="53">
        <v>105</v>
      </c>
      <c r="F9" s="53">
        <v>143</v>
      </c>
      <c r="G9" s="53">
        <v>639</v>
      </c>
      <c r="H9" s="53">
        <v>246</v>
      </c>
      <c r="I9" s="53">
        <v>358</v>
      </c>
      <c r="J9" s="53">
        <v>358</v>
      </c>
      <c r="K9" s="53">
        <v>1742</v>
      </c>
      <c r="L9" s="71">
        <f>Schedules!L11</f>
        <v>1393.6000000000001</v>
      </c>
      <c r="M9" s="53">
        <v>1173</v>
      </c>
      <c r="N9" s="75">
        <f>Schedules!N11</f>
        <v>800</v>
      </c>
      <c r="O9" s="75">
        <f>Schedules!O11</f>
        <v>600</v>
      </c>
      <c r="P9" s="75">
        <f>Schedules!P11</f>
        <v>400</v>
      </c>
    </row>
    <row r="10" spans="2:16" ht="15" customHeight="1" x14ac:dyDescent="0.3">
      <c r="B10" s="56" t="s">
        <v>88</v>
      </c>
      <c r="C10" s="53">
        <v>1756</v>
      </c>
      <c r="D10" s="53">
        <v>1979</v>
      </c>
      <c r="E10" s="53">
        <v>2658</v>
      </c>
      <c r="F10" s="53">
        <v>1751</v>
      </c>
      <c r="G10" s="53">
        <v>1464</v>
      </c>
      <c r="H10" s="53">
        <v>774</v>
      </c>
      <c r="I10" s="53">
        <v>778</v>
      </c>
      <c r="J10" s="53">
        <v>778</v>
      </c>
      <c r="K10" s="53">
        <v>464</v>
      </c>
      <c r="L10" s="53">
        <v>706</v>
      </c>
      <c r="M10" s="53">
        <v>706</v>
      </c>
      <c r="N10" s="75">
        <f>'Income Statement'!N$7*Assumptions!C41</f>
        <v>977.77679999999998</v>
      </c>
      <c r="O10" s="75">
        <f>'Income Statement'!O$7*Assumptions!D41</f>
        <v>1045.8656208000002</v>
      </c>
      <c r="P10" s="75">
        <f>'Income Statement'!P$7*Assumptions!E41</f>
        <v>1122.1348778640004</v>
      </c>
    </row>
    <row r="11" spans="2:16" ht="15" customHeight="1" x14ac:dyDescent="0.3">
      <c r="B11" s="56" t="s">
        <v>89</v>
      </c>
      <c r="C11" s="53">
        <v>21</v>
      </c>
      <c r="D11" s="53">
        <v>43</v>
      </c>
      <c r="E11" s="53">
        <v>48</v>
      </c>
      <c r="F11" s="53">
        <v>35</v>
      </c>
      <c r="G11" s="53">
        <v>47</v>
      </c>
      <c r="H11" s="53">
        <v>93</v>
      </c>
      <c r="I11" s="53">
        <v>68</v>
      </c>
      <c r="J11" s="53">
        <v>66</v>
      </c>
      <c r="K11" s="53">
        <v>76</v>
      </c>
      <c r="L11" s="53">
        <v>81</v>
      </c>
      <c r="M11" s="53">
        <v>81</v>
      </c>
      <c r="N11" s="75">
        <f>'Income Statement'!N$7*Assumptions!C42</f>
        <v>122.2221</v>
      </c>
      <c r="O11" s="75">
        <f>'Income Statement'!O$7*Assumptions!D42</f>
        <v>130.73320260000003</v>
      </c>
      <c r="P11" s="75">
        <f>'Income Statement'!P$7*Assumptions!E42</f>
        <v>140.26685973300005</v>
      </c>
    </row>
    <row r="12" spans="2:16" ht="15" customHeight="1" x14ac:dyDescent="0.3">
      <c r="B12" s="56" t="s">
        <v>90</v>
      </c>
      <c r="C12" s="53">
        <v>197</v>
      </c>
      <c r="D12" s="53">
        <v>182</v>
      </c>
      <c r="E12" s="53">
        <v>175</v>
      </c>
      <c r="F12" s="53">
        <v>186</v>
      </c>
      <c r="G12" s="53">
        <v>219</v>
      </c>
      <c r="H12" s="53">
        <v>1632</v>
      </c>
      <c r="I12" s="53">
        <v>1665</v>
      </c>
      <c r="J12" s="53">
        <v>1667</v>
      </c>
      <c r="K12" s="53">
        <v>1613</v>
      </c>
      <c r="L12" s="53">
        <v>1582</v>
      </c>
      <c r="M12" s="53">
        <v>1582</v>
      </c>
      <c r="N12" s="75">
        <f>'Income Statement'!N$7*Assumptions!C43</f>
        <v>1344.4431</v>
      </c>
      <c r="O12" s="75">
        <f>'Income Statement'!O$7*Assumptions!D43</f>
        <v>1438.0652286000002</v>
      </c>
      <c r="P12" s="75">
        <f>'Income Statement'!P$7*Assumptions!E43</f>
        <v>1542.9354570630003</v>
      </c>
    </row>
    <row r="13" spans="2:16" ht="15" customHeight="1" x14ac:dyDescent="0.3">
      <c r="B13" s="52" t="s">
        <v>91</v>
      </c>
      <c r="C13" s="77">
        <f>C8+C9+C10+C11+C12</f>
        <v>4892</v>
      </c>
      <c r="D13" s="77">
        <f t="shared" ref="D13:P13" si="0">D8+D9+D10+D11+D12</f>
        <v>4914</v>
      </c>
      <c r="E13" s="77">
        <f t="shared" si="0"/>
        <v>5387</v>
      </c>
      <c r="F13" s="77">
        <f t="shared" si="0"/>
        <v>4456</v>
      </c>
      <c r="G13" s="77">
        <f t="shared" si="0"/>
        <v>4548</v>
      </c>
      <c r="H13" s="77">
        <f t="shared" si="0"/>
        <v>5740</v>
      </c>
      <c r="I13" s="77">
        <f t="shared" si="0"/>
        <v>5913</v>
      </c>
      <c r="J13" s="77">
        <f t="shared" si="0"/>
        <v>5913</v>
      </c>
      <c r="K13" s="77">
        <f>K8+K9+K10+K11+K12</f>
        <v>7355</v>
      </c>
      <c r="L13" s="77">
        <f>L8+L9+L10+L11+L12</f>
        <v>7858.5999999999995</v>
      </c>
      <c r="M13" s="77">
        <f t="shared" si="0"/>
        <v>9016</v>
      </c>
      <c r="N13" s="78">
        <f>N8+N9+N10+N11+N12</f>
        <v>9764.9140000000007</v>
      </c>
      <c r="O13" s="78">
        <f t="shared" si="0"/>
        <v>10712.502469999999</v>
      </c>
      <c r="P13" s="78">
        <f t="shared" si="0"/>
        <v>11473.571429927999</v>
      </c>
    </row>
    <row r="15" spans="2:16" ht="15" customHeight="1" x14ac:dyDescent="0.3">
      <c r="B15" s="102" t="s">
        <v>92</v>
      </c>
      <c r="C15" s="103"/>
      <c r="D15" s="103"/>
      <c r="E15" s="103"/>
      <c r="F15" s="103"/>
      <c r="G15" s="103"/>
      <c r="H15" s="103"/>
      <c r="I15" s="103"/>
      <c r="J15" s="103"/>
      <c r="K15" s="103"/>
      <c r="L15" s="103"/>
      <c r="M15" s="103"/>
      <c r="N15" s="103"/>
      <c r="O15" s="103"/>
      <c r="P15" s="103"/>
    </row>
    <row r="16" spans="2:16" ht="15" customHeight="1" x14ac:dyDescent="0.3">
      <c r="B16" s="56" t="s">
        <v>74</v>
      </c>
      <c r="C16" s="53">
        <v>940</v>
      </c>
      <c r="D16" s="53">
        <v>902</v>
      </c>
      <c r="E16" s="53">
        <v>966</v>
      </c>
      <c r="F16" s="53">
        <v>1283</v>
      </c>
      <c r="G16" s="53">
        <v>1416</v>
      </c>
      <c r="H16" s="53">
        <v>1593</v>
      </c>
      <c r="I16" s="53">
        <v>1929</v>
      </c>
      <c r="J16" s="53">
        <v>1929</v>
      </c>
      <c r="K16" s="53">
        <v>2089</v>
      </c>
      <c r="L16" s="85">
        <f>Schedules!L21</f>
        <v>1971.0352</v>
      </c>
      <c r="M16" s="53">
        <v>2850</v>
      </c>
      <c r="N16" s="75">
        <f>Schedules!N21</f>
        <v>3165.9024657534251</v>
      </c>
      <c r="O16" s="75">
        <f>Schedules!O21</f>
        <v>3446.5718958904113</v>
      </c>
      <c r="P16" s="75">
        <f>Schedules!P21</f>
        <v>3767.5761410958912</v>
      </c>
    </row>
    <row r="17" spans="2:16" ht="15" customHeight="1" x14ac:dyDescent="0.3">
      <c r="B17" s="56" t="s">
        <v>73</v>
      </c>
      <c r="C17" s="53">
        <v>98</v>
      </c>
      <c r="D17" s="53">
        <v>89</v>
      </c>
      <c r="E17" s="53">
        <v>125</v>
      </c>
      <c r="F17" s="53">
        <v>124</v>
      </c>
      <c r="G17" s="53">
        <v>165</v>
      </c>
      <c r="H17" s="53">
        <v>166</v>
      </c>
      <c r="I17" s="53">
        <v>192</v>
      </c>
      <c r="J17" s="53">
        <v>192</v>
      </c>
      <c r="K17" s="53">
        <v>300</v>
      </c>
      <c r="L17" s="85">
        <f>Schedules!L20</f>
        <v>195.15200000000002</v>
      </c>
      <c r="M17" s="53">
        <v>363</v>
      </c>
      <c r="N17" s="75">
        <f>Schedules!N20</f>
        <v>426.17917808219181</v>
      </c>
      <c r="O17" s="75">
        <f>Schedules!O20</f>
        <v>473.05888767123292</v>
      </c>
      <c r="P17" s="75">
        <f>Schedules!P20</f>
        <v>527.46065975342481</v>
      </c>
    </row>
    <row r="18" spans="2:16" ht="15" customHeight="1" x14ac:dyDescent="0.3">
      <c r="B18" s="104" t="s">
        <v>93</v>
      </c>
      <c r="C18" s="113">
        <v>880</v>
      </c>
      <c r="D18" s="113">
        <v>1457</v>
      </c>
      <c r="E18" s="113">
        <v>1610</v>
      </c>
      <c r="F18" s="113">
        <v>1308</v>
      </c>
      <c r="G18" s="113">
        <v>1770</v>
      </c>
      <c r="H18" s="113">
        <v>735</v>
      </c>
      <c r="I18" s="113">
        <v>946</v>
      </c>
      <c r="J18" s="113">
        <v>946</v>
      </c>
      <c r="K18" s="113">
        <v>779</v>
      </c>
      <c r="L18" s="100">
        <f>'Cash Flow'!L30</f>
        <v>540.59999999999991</v>
      </c>
      <c r="M18" s="113">
        <v>96</v>
      </c>
      <c r="N18" s="100">
        <f>'Cash Flow'!N30</f>
        <v>-1795.4852127342465</v>
      </c>
      <c r="O18" s="100">
        <f>'Cash Flow'!O30</f>
        <v>-3592.6950786349335</v>
      </c>
      <c r="P18" s="100">
        <f>'Cash Flow'!P30</f>
        <v>-5285.1275583021388</v>
      </c>
    </row>
    <row r="19" spans="2:16" ht="15" customHeight="1" x14ac:dyDescent="0.3">
      <c r="B19" s="52" t="s">
        <v>94</v>
      </c>
      <c r="C19" s="77">
        <f>C16+C17+C18</f>
        <v>1918</v>
      </c>
      <c r="D19" s="77">
        <f t="shared" ref="D19:P19" si="1">D16+D17+D18</f>
        <v>2448</v>
      </c>
      <c r="E19" s="77">
        <f t="shared" si="1"/>
        <v>2701</v>
      </c>
      <c r="F19" s="77">
        <f t="shared" si="1"/>
        <v>2715</v>
      </c>
      <c r="G19" s="77">
        <f t="shared" si="1"/>
        <v>3351</v>
      </c>
      <c r="H19" s="77">
        <f t="shared" si="1"/>
        <v>2494</v>
      </c>
      <c r="I19" s="77">
        <f t="shared" si="1"/>
        <v>3067</v>
      </c>
      <c r="J19" s="77">
        <f t="shared" si="1"/>
        <v>3067</v>
      </c>
      <c r="K19" s="77">
        <f t="shared" si="1"/>
        <v>3168</v>
      </c>
      <c r="L19" s="77">
        <f>L16+L17+L18</f>
        <v>2706.7871999999998</v>
      </c>
      <c r="M19" s="77">
        <f>M16+M17+M18</f>
        <v>3309</v>
      </c>
      <c r="N19" s="78">
        <f>N16+N17+N18</f>
        <v>1796.5964311013704</v>
      </c>
      <c r="O19" s="78">
        <f t="shared" si="1"/>
        <v>326.93570492671097</v>
      </c>
      <c r="P19" s="78">
        <f t="shared" si="1"/>
        <v>-990.0907574528228</v>
      </c>
    </row>
    <row r="21" spans="2:16" ht="18" customHeight="1" thickTop="1" thickBot="1" x14ac:dyDescent="0.35">
      <c r="B21" s="105" t="s">
        <v>95</v>
      </c>
      <c r="C21" s="114">
        <v>6810</v>
      </c>
      <c r="D21" s="114">
        <v>7363</v>
      </c>
      <c r="E21" s="114">
        <v>8088</v>
      </c>
      <c r="F21" s="114">
        <v>7173</v>
      </c>
      <c r="G21" s="114">
        <v>7900</v>
      </c>
      <c r="H21" s="114">
        <v>8234</v>
      </c>
      <c r="I21" s="114">
        <v>8979</v>
      </c>
      <c r="J21" s="114">
        <v>8979</v>
      </c>
      <c r="K21" s="114">
        <v>10523</v>
      </c>
      <c r="L21" s="107">
        <f>L13+L19</f>
        <v>10565.387199999999</v>
      </c>
      <c r="M21" s="114">
        <v>12324</v>
      </c>
      <c r="N21" s="107">
        <f>N13+N19</f>
        <v>11561.510431101371</v>
      </c>
      <c r="O21" s="107">
        <f>O13+O19</f>
        <v>11039.43817492671</v>
      </c>
      <c r="P21" s="107">
        <f>P13+P19</f>
        <v>10483.480672475176</v>
      </c>
    </row>
    <row r="23" spans="2:16" ht="15.75" customHeight="1" x14ac:dyDescent="0.3">
      <c r="B23" s="50" t="s">
        <v>96</v>
      </c>
      <c r="C23" s="51"/>
      <c r="D23" s="51"/>
      <c r="E23" s="51"/>
      <c r="F23" s="51"/>
      <c r="G23" s="51"/>
      <c r="H23" s="51"/>
      <c r="I23" s="51"/>
      <c r="J23" s="51"/>
      <c r="K23" s="51"/>
      <c r="L23" s="51"/>
      <c r="M23" s="51"/>
      <c r="N23" s="51"/>
      <c r="O23" s="51"/>
      <c r="P23" s="51"/>
    </row>
    <row r="24" spans="2:16" ht="15" customHeight="1" x14ac:dyDescent="0.3">
      <c r="B24" s="102" t="s">
        <v>97</v>
      </c>
      <c r="C24" s="103"/>
      <c r="D24" s="103"/>
      <c r="E24" s="103"/>
      <c r="F24" s="103"/>
      <c r="G24" s="103"/>
      <c r="H24" s="103"/>
      <c r="I24" s="103"/>
      <c r="J24" s="103"/>
      <c r="K24" s="103"/>
      <c r="L24" s="103"/>
      <c r="M24" s="103"/>
      <c r="N24" s="103"/>
      <c r="O24" s="103"/>
      <c r="P24" s="103"/>
    </row>
    <row r="25" spans="2:16" ht="15" customHeight="1" x14ac:dyDescent="0.3">
      <c r="B25" s="56" t="s">
        <v>98</v>
      </c>
      <c r="C25" s="53">
        <v>96</v>
      </c>
      <c r="D25" s="53">
        <v>96</v>
      </c>
      <c r="E25" s="53">
        <v>96</v>
      </c>
      <c r="F25" s="53">
        <v>96</v>
      </c>
      <c r="G25" s="53">
        <v>96</v>
      </c>
      <c r="H25" s="53">
        <v>96</v>
      </c>
      <c r="I25" s="53">
        <v>96</v>
      </c>
      <c r="J25" s="53">
        <v>96</v>
      </c>
      <c r="K25" s="53">
        <v>96</v>
      </c>
      <c r="L25" s="53">
        <v>96</v>
      </c>
      <c r="M25" s="53">
        <v>96</v>
      </c>
      <c r="N25" s="90">
        <v>96.42</v>
      </c>
      <c r="O25" s="90">
        <v>96.42</v>
      </c>
      <c r="P25" s="90">
        <v>96.42</v>
      </c>
    </row>
    <row r="26" spans="2:16" ht="15" customHeight="1" x14ac:dyDescent="0.3">
      <c r="B26" s="56" t="s">
        <v>99</v>
      </c>
      <c r="C26" s="53">
        <v>2749</v>
      </c>
      <c r="D26" s="53">
        <v>3186</v>
      </c>
      <c r="E26" s="53">
        <v>3324</v>
      </c>
      <c r="F26" s="53">
        <v>3577</v>
      </c>
      <c r="G26" s="53">
        <v>1822</v>
      </c>
      <c r="H26" s="53">
        <v>1923</v>
      </c>
      <c r="I26" s="53">
        <v>1850</v>
      </c>
      <c r="J26" s="53">
        <v>2363</v>
      </c>
      <c r="K26" s="53">
        <v>2363</v>
      </c>
      <c r="L26" s="71">
        <f>J29</f>
        <v>2363</v>
      </c>
      <c r="M26" s="53">
        <v>3244</v>
      </c>
      <c r="N26" s="75">
        <f>M29</f>
        <v>4021</v>
      </c>
      <c r="O26" s="75">
        <f>N29</f>
        <v>4840.8770072500001</v>
      </c>
      <c r="P26" s="75">
        <f>O29</f>
        <v>5656.0111082158</v>
      </c>
    </row>
    <row r="27" spans="2:16" ht="15" customHeight="1" x14ac:dyDescent="0.3">
      <c r="B27" s="56" t="s">
        <v>100</v>
      </c>
      <c r="C27" s="71">
        <f>'Income Statement'!C27</f>
        <v>1001</v>
      </c>
      <c r="D27" s="71">
        <f>'Income Statement'!D27</f>
        <v>1225</v>
      </c>
      <c r="E27" s="71">
        <f>'Income Statement'!E27</f>
        <v>1607</v>
      </c>
      <c r="F27" s="71">
        <f>'Income Statement'!F27</f>
        <v>1968</v>
      </c>
      <c r="G27" s="71">
        <f>'Income Statement'!G27</f>
        <v>2082</v>
      </c>
      <c r="H27" s="71">
        <f>'Income Statement'!H27</f>
        <v>2118</v>
      </c>
      <c r="I27" s="71">
        <f>'Income Statement'!I27</f>
        <v>2391</v>
      </c>
      <c r="J27" s="71">
        <f>'Income Statement'!J27</f>
        <v>2999</v>
      </c>
      <c r="K27" s="71">
        <f>'Income Statement'!K27</f>
        <v>3933</v>
      </c>
      <c r="L27" s="85">
        <f>'Income Statement'!L27</f>
        <v>3146.3999999999996</v>
      </c>
      <c r="M27" s="71">
        <f>'Income Statement'!M27</f>
        <v>3314</v>
      </c>
      <c r="N27" s="75">
        <f>'Income Statement'!N27</f>
        <v>3279.5080289999996</v>
      </c>
      <c r="O27" s="75">
        <f>'Income Statement'!O27</f>
        <v>3705.1550043900002</v>
      </c>
      <c r="P27" s="75">
        <f>'Income Statement'!P27</f>
        <v>4200.668307137611</v>
      </c>
    </row>
    <row r="28" spans="2:16" ht="15" customHeight="1" x14ac:dyDescent="0.3">
      <c r="B28" s="56" t="s">
        <v>101</v>
      </c>
      <c r="C28" s="71">
        <f>'Income Statement'!C31</f>
        <v>564</v>
      </c>
      <c r="D28" s="71">
        <f>'Income Statement'!D31</f>
        <v>829</v>
      </c>
      <c r="E28" s="71">
        <f>'Income Statement'!E31</f>
        <v>1090</v>
      </c>
      <c r="F28" s="71">
        <f>'Income Statement'!F31</f>
        <v>2950</v>
      </c>
      <c r="G28" s="71">
        <f>'Income Statement'!G31</f>
        <v>1890</v>
      </c>
      <c r="H28" s="71">
        <f>'Income Statement'!H31</f>
        <v>1928</v>
      </c>
      <c r="I28" s="71">
        <f>'Income Statement'!I31</f>
        <v>2025</v>
      </c>
      <c r="J28" s="71">
        <f>'Income Statement'!J31</f>
        <v>2333</v>
      </c>
      <c r="K28" s="71">
        <f>'Income Statement'!K31</f>
        <v>3008</v>
      </c>
      <c r="L28" s="71">
        <f>'Income Statement'!L31</f>
        <v>2406.4</v>
      </c>
      <c r="M28" s="71">
        <f>'Income Statement'!M31</f>
        <v>2459</v>
      </c>
      <c r="N28" s="75">
        <f>'Income Statement'!N31</f>
        <v>2459.6310217499995</v>
      </c>
      <c r="O28" s="75">
        <f>'Income Statement'!O31</f>
        <v>2890.0209034242002</v>
      </c>
      <c r="P28" s="75">
        <f>'Income Statement'!P31</f>
        <v>3360.5346457100891</v>
      </c>
    </row>
    <row r="29" spans="2:16" ht="15" customHeight="1" x14ac:dyDescent="0.3">
      <c r="B29" s="52" t="s">
        <v>102</v>
      </c>
      <c r="C29" s="115">
        <v>3186</v>
      </c>
      <c r="D29" s="115">
        <v>3324</v>
      </c>
      <c r="E29" s="115">
        <v>4021</v>
      </c>
      <c r="F29" s="115">
        <v>1822</v>
      </c>
      <c r="G29" s="115">
        <v>1923</v>
      </c>
      <c r="H29" s="115">
        <v>1850</v>
      </c>
      <c r="I29" s="115">
        <v>2363</v>
      </c>
      <c r="J29" s="115">
        <v>2363</v>
      </c>
      <c r="K29" s="115">
        <v>3244</v>
      </c>
      <c r="L29" s="79">
        <f>K29+L27-L28</f>
        <v>3983.9999999999995</v>
      </c>
      <c r="M29" s="115">
        <v>4021</v>
      </c>
      <c r="N29" s="79">
        <f>M29+N27-N28</f>
        <v>4840.8770072500001</v>
      </c>
      <c r="O29" s="79">
        <f>N29+O27-O28</f>
        <v>5656.0111082158</v>
      </c>
      <c r="P29" s="79">
        <f>O29+P27-P28</f>
        <v>6496.1447696433206</v>
      </c>
    </row>
    <row r="30" spans="2:16" ht="15" customHeight="1" x14ac:dyDescent="0.3">
      <c r="B30" s="52" t="s">
        <v>103</v>
      </c>
      <c r="C30" s="77">
        <f t="shared" ref="C30:P30" si="2">C25+C29</f>
        <v>3282</v>
      </c>
      <c r="D30" s="77">
        <f t="shared" si="2"/>
        <v>3420</v>
      </c>
      <c r="E30" s="77">
        <f>E25+E29</f>
        <v>4117</v>
      </c>
      <c r="F30" s="77">
        <f t="shared" si="2"/>
        <v>1918</v>
      </c>
      <c r="G30" s="77">
        <f t="shared" si="2"/>
        <v>2019</v>
      </c>
      <c r="H30" s="77">
        <f t="shared" si="2"/>
        <v>1946</v>
      </c>
      <c r="I30" s="77">
        <f t="shared" si="2"/>
        <v>2459</v>
      </c>
      <c r="J30" s="77">
        <f t="shared" si="2"/>
        <v>2459</v>
      </c>
      <c r="K30" s="77">
        <f>K25+K29</f>
        <v>3340</v>
      </c>
      <c r="L30" s="77">
        <f>L25+L29</f>
        <v>4079.9999999999995</v>
      </c>
      <c r="M30" s="77">
        <f t="shared" si="2"/>
        <v>4117</v>
      </c>
      <c r="N30" s="78">
        <f>N25+N29</f>
        <v>4937.2970072500002</v>
      </c>
      <c r="O30" s="78">
        <f t="shared" si="2"/>
        <v>5752.4311082158001</v>
      </c>
      <c r="P30" s="78">
        <f t="shared" si="2"/>
        <v>6592.5647696433207</v>
      </c>
    </row>
    <row r="32" spans="2:16" ht="15" customHeight="1" x14ac:dyDescent="0.3">
      <c r="B32" s="102" t="s">
        <v>104</v>
      </c>
      <c r="C32" s="103"/>
      <c r="D32" s="103"/>
      <c r="E32" s="103"/>
      <c r="F32" s="103"/>
      <c r="G32" s="103"/>
      <c r="H32" s="103"/>
      <c r="I32" s="103"/>
      <c r="J32" s="103"/>
      <c r="K32" s="103"/>
      <c r="L32" s="103"/>
      <c r="M32" s="103"/>
      <c r="N32" s="103"/>
      <c r="O32" s="103"/>
      <c r="P32" s="103"/>
    </row>
    <row r="33" spans="2:16" ht="15" customHeight="1" x14ac:dyDescent="0.3">
      <c r="B33" s="56" t="s">
        <v>105</v>
      </c>
      <c r="C33" s="53">
        <v>33</v>
      </c>
      <c r="D33" s="53">
        <v>35</v>
      </c>
      <c r="E33" s="53">
        <v>35</v>
      </c>
      <c r="F33" s="53">
        <v>189</v>
      </c>
      <c r="G33" s="53">
        <v>147</v>
      </c>
      <c r="H33" s="53">
        <v>266</v>
      </c>
      <c r="I33" s="53">
        <v>271</v>
      </c>
      <c r="J33" s="53">
        <v>271</v>
      </c>
      <c r="K33" s="53">
        <v>345</v>
      </c>
      <c r="L33" s="85">
        <f>Schedules!L30</f>
        <v>345</v>
      </c>
      <c r="M33" s="53">
        <v>1167</v>
      </c>
      <c r="N33" s="75">
        <f>Schedules!N30</f>
        <v>900</v>
      </c>
      <c r="O33" s="75">
        <f>Schedules!O30</f>
        <v>800</v>
      </c>
      <c r="P33" s="75">
        <f>Schedules!P30</f>
        <v>750</v>
      </c>
    </row>
    <row r="34" spans="2:16" ht="15" customHeight="1" x14ac:dyDescent="0.3">
      <c r="B34" s="52" t="s">
        <v>106</v>
      </c>
      <c r="C34" s="77">
        <f t="shared" ref="C34:P34" si="3">C33</f>
        <v>33</v>
      </c>
      <c r="D34" s="77">
        <f t="shared" si="3"/>
        <v>35</v>
      </c>
      <c r="E34" s="77">
        <f t="shared" si="3"/>
        <v>35</v>
      </c>
      <c r="F34" s="77">
        <f t="shared" si="3"/>
        <v>189</v>
      </c>
      <c r="G34" s="77">
        <f t="shared" si="3"/>
        <v>147</v>
      </c>
      <c r="H34" s="77">
        <f t="shared" si="3"/>
        <v>266</v>
      </c>
      <c r="I34" s="77">
        <f t="shared" si="3"/>
        <v>271</v>
      </c>
      <c r="J34" s="77">
        <f t="shared" si="3"/>
        <v>271</v>
      </c>
      <c r="K34" s="77">
        <f t="shared" si="3"/>
        <v>345</v>
      </c>
      <c r="L34" s="108">
        <f>L33</f>
        <v>345</v>
      </c>
      <c r="M34" s="77">
        <f t="shared" si="3"/>
        <v>1167</v>
      </c>
      <c r="N34" s="78">
        <f>N33</f>
        <v>900</v>
      </c>
      <c r="O34" s="78">
        <f t="shared" si="3"/>
        <v>800</v>
      </c>
      <c r="P34" s="78">
        <f t="shared" si="3"/>
        <v>750</v>
      </c>
    </row>
    <row r="36" spans="2:16" ht="15" customHeight="1" x14ac:dyDescent="0.3">
      <c r="B36" s="102" t="s">
        <v>107</v>
      </c>
      <c r="C36" s="103"/>
      <c r="D36" s="103"/>
      <c r="E36" s="103"/>
      <c r="F36" s="103"/>
      <c r="G36" s="103"/>
      <c r="H36" s="103"/>
      <c r="I36" s="103"/>
      <c r="J36" s="103"/>
      <c r="K36" s="103"/>
      <c r="L36" s="103"/>
      <c r="M36" s="103"/>
      <c r="N36" s="103"/>
      <c r="O36" s="103"/>
      <c r="P36" s="103"/>
    </row>
    <row r="37" spans="2:16" ht="15" customHeight="1" x14ac:dyDescent="0.3">
      <c r="B37" s="56" t="s">
        <v>108</v>
      </c>
      <c r="C37" s="53">
        <v>2671</v>
      </c>
      <c r="D37" s="53">
        <v>2905</v>
      </c>
      <c r="E37" s="53">
        <v>3098</v>
      </c>
      <c r="F37" s="53">
        <v>3537</v>
      </c>
      <c r="G37" s="53">
        <v>4164</v>
      </c>
      <c r="H37" s="53">
        <v>4204</v>
      </c>
      <c r="I37" s="53">
        <v>4014</v>
      </c>
      <c r="J37" s="53">
        <v>4128</v>
      </c>
      <c r="K37" s="53">
        <v>4010</v>
      </c>
      <c r="L37" s="110">
        <f>L39-L38</f>
        <v>3974.1999999999989</v>
      </c>
      <c r="M37" s="53">
        <v>4389</v>
      </c>
      <c r="N37" s="109">
        <f>N21-N30-N34</f>
        <v>5724.2134238513709</v>
      </c>
      <c r="O37" s="109">
        <f t="shared" ref="O37:P37" si="4">O21-O30-O34</f>
        <v>4487.0070667109103</v>
      </c>
      <c r="P37" s="109">
        <f t="shared" si="4"/>
        <v>3140.9159028318554</v>
      </c>
    </row>
    <row r="38" spans="2:16" ht="15" customHeight="1" x14ac:dyDescent="0.3">
      <c r="B38" s="54" t="s">
        <v>109</v>
      </c>
      <c r="C38" s="53">
        <v>799</v>
      </c>
      <c r="D38" s="53">
        <v>985</v>
      </c>
      <c r="E38" s="53">
        <v>1240</v>
      </c>
      <c r="F38" s="53">
        <v>1492</v>
      </c>
      <c r="G38" s="53">
        <v>1517</v>
      </c>
      <c r="H38" s="53">
        <v>1748</v>
      </c>
      <c r="I38" s="53">
        <v>2121</v>
      </c>
      <c r="J38" s="53">
        <v>2121</v>
      </c>
      <c r="K38" s="53">
        <v>2812</v>
      </c>
      <c r="L38" s="110">
        <f>Schedules!L22</f>
        <v>2166.1872000000003</v>
      </c>
      <c r="M38" s="53">
        <v>2624</v>
      </c>
      <c r="N38" s="109">
        <f>Schedules!N22</f>
        <v>3044.1369863013701</v>
      </c>
      <c r="O38" s="109">
        <f>Schedules!O22</f>
        <v>3446.5718958904113</v>
      </c>
      <c r="P38" s="109">
        <f>Schedules!P22</f>
        <v>3918.2791867397268</v>
      </c>
    </row>
    <row r="39" spans="2:16" ht="15" customHeight="1" x14ac:dyDescent="0.3">
      <c r="B39" s="52" t="s">
        <v>110</v>
      </c>
      <c r="C39" s="116">
        <v>3495</v>
      </c>
      <c r="D39" s="116">
        <v>3908</v>
      </c>
      <c r="E39" s="116">
        <v>4380</v>
      </c>
      <c r="F39" s="116">
        <v>5066</v>
      </c>
      <c r="G39" s="116">
        <v>5734</v>
      </c>
      <c r="H39" s="116">
        <v>6022</v>
      </c>
      <c r="I39" s="116">
        <v>6249</v>
      </c>
      <c r="J39" s="116">
        <v>6249</v>
      </c>
      <c r="K39" s="116">
        <v>6838</v>
      </c>
      <c r="L39" s="111">
        <f>L21-L30-L34</f>
        <v>6140.3871999999992</v>
      </c>
      <c r="M39" s="116">
        <v>7040</v>
      </c>
      <c r="N39" s="78">
        <f>N21-N30-N34</f>
        <v>5724.2134238513709</v>
      </c>
      <c r="O39" s="78">
        <f>O21-O30-O34</f>
        <v>4487.0070667109103</v>
      </c>
      <c r="P39" s="78">
        <f>P21-P30-P34</f>
        <v>3140.9159028318554</v>
      </c>
    </row>
    <row r="41" spans="2:16" ht="18" customHeight="1" thickTop="1" thickBot="1" x14ac:dyDescent="0.35">
      <c r="B41" s="105" t="s">
        <v>111</v>
      </c>
      <c r="C41" s="114">
        <v>6810</v>
      </c>
      <c r="D41" s="114">
        <v>7363</v>
      </c>
      <c r="E41" s="114">
        <v>8088</v>
      </c>
      <c r="F41" s="114">
        <v>7173</v>
      </c>
      <c r="G41" s="114">
        <v>7900</v>
      </c>
      <c r="H41" s="114">
        <v>8234</v>
      </c>
      <c r="I41" s="114">
        <v>8979</v>
      </c>
      <c r="J41" s="114">
        <v>8979</v>
      </c>
      <c r="K41" s="114">
        <v>10523</v>
      </c>
      <c r="L41" s="107">
        <f>L30+L34+L39</f>
        <v>10565.387199999999</v>
      </c>
      <c r="M41" s="114">
        <v>12324</v>
      </c>
      <c r="N41" s="107">
        <f>N30+N34+N39</f>
        <v>11561.510431101371</v>
      </c>
      <c r="O41" s="107">
        <f>O30+O34+O39</f>
        <v>11039.43817492671</v>
      </c>
      <c r="P41" s="107">
        <f>P30+P34+P39</f>
        <v>10483.480672475176</v>
      </c>
    </row>
    <row r="43" spans="2:16" ht="15" customHeight="1" x14ac:dyDescent="0.3">
      <c r="B43" s="106" t="s">
        <v>112</v>
      </c>
      <c r="C43" s="112">
        <f t="shared" ref="C43:P43" si="5">C21-C41</f>
        <v>0</v>
      </c>
      <c r="D43" s="112">
        <f t="shared" si="5"/>
        <v>0</v>
      </c>
      <c r="E43" s="112">
        <f t="shared" si="5"/>
        <v>0</v>
      </c>
      <c r="F43" s="112">
        <f t="shared" si="5"/>
        <v>0</v>
      </c>
      <c r="G43" s="112">
        <f t="shared" si="5"/>
        <v>0</v>
      </c>
      <c r="H43" s="112">
        <f t="shared" si="5"/>
        <v>0</v>
      </c>
      <c r="I43" s="112">
        <f t="shared" si="5"/>
        <v>0</v>
      </c>
      <c r="J43" s="112">
        <f t="shared" si="5"/>
        <v>0</v>
      </c>
      <c r="K43" s="112">
        <f t="shared" si="5"/>
        <v>0</v>
      </c>
      <c r="L43" s="112">
        <f t="shared" si="5"/>
        <v>0</v>
      </c>
      <c r="M43" s="112">
        <f t="shared" si="5"/>
        <v>0</v>
      </c>
      <c r="N43" s="112">
        <f t="shared" si="5"/>
        <v>0</v>
      </c>
      <c r="O43" s="112">
        <f t="shared" si="5"/>
        <v>0</v>
      </c>
      <c r="P43" s="112">
        <f t="shared" si="5"/>
        <v>0</v>
      </c>
    </row>
  </sheetData>
  <sheetProtection algorithmName="SHA-512" hashValue="JgHYa63esrN4y+uV2VeRRTB4FwCv48VlywfFKFCQVP2aJn/fEQtzFoaulZxL0yzf4mJMwlT4Uygxa13G1vNhnw==" saltValue="rfTx9wMnipjZc9m0Rmz/8Q==" spinCount="100000" sheet="1" objects="1" scenarios="1"/>
  <mergeCells count="3">
    <mergeCell ref="B1:P1"/>
    <mergeCell ref="C3:M3"/>
    <mergeCell ref="N3:P3"/>
  </mergeCells>
  <pageMargins left="0.75" right="0.75" top="1" bottom="1" header="0.511811023622047" footer="0.511811023622047"/>
  <pageSetup paperSize="9" scale="62"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C55A11"/>
    <pageSetUpPr fitToPage="1"/>
  </sheetPr>
  <dimension ref="B1:P32"/>
  <sheetViews>
    <sheetView showGridLines="0" zoomScale="85" zoomScaleNormal="85" workbookViewId="0">
      <pane xSplit="2" ySplit="5" topLeftCell="C6" activePane="bottomRight" state="frozen"/>
      <selection pane="topRight" activeCell="C1" sqref="C1"/>
      <selection pane="bottomLeft" activeCell="A6" sqref="A6"/>
      <selection pane="bottomRight" activeCell="K30" sqref="K30"/>
    </sheetView>
  </sheetViews>
  <sheetFormatPr defaultColWidth="8.6640625" defaultRowHeight="13.8" x14ac:dyDescent="0.3"/>
  <cols>
    <col min="1" max="1" width="2.33203125" style="44" customWidth="1"/>
    <col min="2" max="2" width="48.44140625" style="44" bestFit="1" customWidth="1"/>
    <col min="3" max="11" width="11" style="44" customWidth="1"/>
    <col min="12" max="12" width="15.33203125" style="44" customWidth="1"/>
    <col min="13" max="16" width="11" style="44" customWidth="1"/>
    <col min="17" max="16384" width="8.6640625" style="44"/>
  </cols>
  <sheetData>
    <row r="1" spans="2:16" ht="36" customHeight="1" x14ac:dyDescent="0.3">
      <c r="B1" s="183" t="s">
        <v>113</v>
      </c>
      <c r="C1" s="183"/>
      <c r="D1" s="183"/>
      <c r="E1" s="183"/>
      <c r="F1" s="183"/>
      <c r="G1" s="183"/>
      <c r="H1" s="183"/>
      <c r="I1" s="183"/>
      <c r="J1" s="183"/>
      <c r="K1" s="183"/>
      <c r="L1" s="183"/>
      <c r="M1" s="183"/>
      <c r="N1" s="183"/>
      <c r="O1" s="183"/>
      <c r="P1" s="183"/>
    </row>
    <row r="2" spans="2:16" s="2" customFormat="1" ht="4.95" customHeight="1" x14ac:dyDescent="0.3"/>
    <row r="3" spans="2:16" ht="15" customHeight="1" x14ac:dyDescent="0.3">
      <c r="C3" s="185" t="s">
        <v>28</v>
      </c>
      <c r="D3" s="185"/>
      <c r="E3" s="185"/>
      <c r="F3" s="185"/>
      <c r="G3" s="185"/>
      <c r="H3" s="185"/>
      <c r="I3" s="185"/>
      <c r="J3" s="185"/>
      <c r="K3" s="185"/>
      <c r="L3" s="185"/>
      <c r="M3" s="185"/>
      <c r="N3" s="186" t="s">
        <v>29</v>
      </c>
      <c r="O3" s="186"/>
      <c r="P3" s="186"/>
    </row>
    <row r="4" spans="2:16" ht="28.2" thickBot="1" x14ac:dyDescent="0.35">
      <c r="B4" s="46" t="s">
        <v>30</v>
      </c>
      <c r="C4" s="68">
        <f>Schedules!C4</f>
        <v>42370</v>
      </c>
      <c r="D4" s="68">
        <f>Schedules!D4</f>
        <v>42736</v>
      </c>
      <c r="E4" s="68">
        <f>Schedules!E4</f>
        <v>43102</v>
      </c>
      <c r="F4" s="68">
        <f>Schedules!F4</f>
        <v>43468</v>
      </c>
      <c r="G4" s="68">
        <f>Schedules!G4</f>
        <v>43834</v>
      </c>
      <c r="H4" s="68">
        <f>Schedules!H4</f>
        <v>44200</v>
      </c>
      <c r="I4" s="68">
        <f>Schedules!I4</f>
        <v>44566</v>
      </c>
      <c r="J4" s="68">
        <f>Schedules!J4</f>
        <v>44932</v>
      </c>
      <c r="K4" s="69">
        <f>Schedules!K4</f>
        <v>45298</v>
      </c>
      <c r="L4" s="48" t="s">
        <v>170</v>
      </c>
      <c r="M4" s="68">
        <f>Schedules!M4</f>
        <v>45664</v>
      </c>
      <c r="N4" s="70">
        <f>Schedules!N4</f>
        <v>46030</v>
      </c>
      <c r="O4" s="70">
        <f>Schedules!O4</f>
        <v>46396</v>
      </c>
      <c r="P4" s="70">
        <f>Schedules!P4</f>
        <v>46762</v>
      </c>
    </row>
    <row r="6" spans="2:16" ht="15.75" customHeight="1" x14ac:dyDescent="0.3">
      <c r="B6" s="50" t="s">
        <v>114</v>
      </c>
      <c r="C6" s="51"/>
      <c r="D6" s="51"/>
      <c r="E6" s="51"/>
      <c r="F6" s="51"/>
      <c r="G6" s="51"/>
      <c r="H6" s="51"/>
      <c r="I6" s="51"/>
      <c r="J6" s="51"/>
      <c r="K6" s="51"/>
      <c r="L6" s="51"/>
      <c r="M6" s="51"/>
      <c r="N6" s="51"/>
      <c r="O6" s="51"/>
      <c r="P6" s="51"/>
    </row>
    <row r="7" spans="2:16" ht="15" customHeight="1" x14ac:dyDescent="0.3">
      <c r="B7" s="52" t="s">
        <v>115</v>
      </c>
      <c r="C7" s="99">
        <f>'Income Statement'!C27</f>
        <v>1001</v>
      </c>
      <c r="D7" s="99">
        <f>'Income Statement'!D27</f>
        <v>1225</v>
      </c>
      <c r="E7" s="99">
        <f>'Income Statement'!E27</f>
        <v>1607</v>
      </c>
      <c r="F7" s="99">
        <f>'Income Statement'!F27</f>
        <v>1968</v>
      </c>
      <c r="G7" s="99">
        <f>'Income Statement'!G27</f>
        <v>2082</v>
      </c>
      <c r="H7" s="99">
        <f>'Income Statement'!H27</f>
        <v>2118</v>
      </c>
      <c r="I7" s="99">
        <f>'Income Statement'!I27</f>
        <v>2391</v>
      </c>
      <c r="J7" s="99">
        <f>'Income Statement'!J27</f>
        <v>2999</v>
      </c>
      <c r="K7" s="99">
        <f>'Income Statement'!K27</f>
        <v>3933</v>
      </c>
      <c r="L7" s="99">
        <f>'Income Statement'!L27</f>
        <v>3146.3999999999996</v>
      </c>
      <c r="M7" s="99">
        <f>'Income Statement'!M27</f>
        <v>3314</v>
      </c>
      <c r="N7" s="72">
        <f>'Income Statement'!N27</f>
        <v>3279.5080289999996</v>
      </c>
      <c r="O7" s="72">
        <f>'Income Statement'!O27</f>
        <v>3705.1550043900002</v>
      </c>
      <c r="P7" s="72">
        <f>'Income Statement'!P27</f>
        <v>4200.668307137611</v>
      </c>
    </row>
    <row r="8" spans="2:16" ht="15" customHeight="1" x14ac:dyDescent="0.3">
      <c r="B8" s="56" t="s">
        <v>116</v>
      </c>
      <c r="C8" s="71">
        <f>Schedules!C9</f>
        <v>354</v>
      </c>
      <c r="D8" s="71">
        <f>Schedules!D9</f>
        <v>342</v>
      </c>
      <c r="E8" s="71">
        <f>Schedules!E9</f>
        <v>336</v>
      </c>
      <c r="F8" s="71">
        <f>Schedules!F9</f>
        <v>370</v>
      </c>
      <c r="G8" s="71">
        <f>Schedules!G9</f>
        <v>370</v>
      </c>
      <c r="H8" s="71">
        <f>Schedules!H9</f>
        <v>391</v>
      </c>
      <c r="I8" s="71">
        <f>Schedules!I9</f>
        <v>403</v>
      </c>
      <c r="J8" s="71">
        <f>Schedules!J9</f>
        <v>429</v>
      </c>
      <c r="K8" s="71">
        <f>Schedules!K9</f>
        <v>568</v>
      </c>
      <c r="L8" s="71">
        <f>Schedules!L9</f>
        <v>454.4</v>
      </c>
      <c r="M8" s="71">
        <f>Schedules!M9</f>
        <v>540</v>
      </c>
      <c r="N8" s="75">
        <f>Schedules!N9</f>
        <v>509.08199999999999</v>
      </c>
      <c r="O8" s="75">
        <f>Schedules!O9</f>
        <v>625.96531200000004</v>
      </c>
      <c r="P8" s="75">
        <f>Schedules!P9</f>
        <v>742.28600338199999</v>
      </c>
    </row>
    <row r="9" spans="2:16" ht="15" customHeight="1" x14ac:dyDescent="0.3">
      <c r="B9" s="56" t="s">
        <v>117</v>
      </c>
      <c r="C9" s="71">
        <f>'Income Statement'!C24</f>
        <v>91</v>
      </c>
      <c r="D9" s="71">
        <f>'Income Statement'!D24</f>
        <v>92</v>
      </c>
      <c r="E9" s="71">
        <f>'Income Statement'!E24</f>
        <v>112</v>
      </c>
      <c r="F9" s="71">
        <f>'Income Statement'!F24</f>
        <v>129</v>
      </c>
      <c r="G9" s="71">
        <f>'Income Statement'!G24</f>
        <v>164</v>
      </c>
      <c r="H9" s="71">
        <f>'Income Statement'!H24</f>
        <v>202</v>
      </c>
      <c r="I9" s="71">
        <f>'Income Statement'!I24</f>
        <v>155</v>
      </c>
      <c r="J9" s="71">
        <f>'Income Statement'!J24</f>
        <v>119</v>
      </c>
      <c r="K9" s="71">
        <f>'Income Statement'!K24</f>
        <v>145</v>
      </c>
      <c r="L9" s="71">
        <f>'Income Statement'!L24</f>
        <v>116</v>
      </c>
      <c r="M9" s="71">
        <f>'Income Statement'!M24</f>
        <v>136</v>
      </c>
      <c r="N9" s="75">
        <f>'Income Statement'!N24</f>
        <v>222.22200000000001</v>
      </c>
      <c r="O9" s="75">
        <f>'Income Statement'!O24</f>
        <v>221.99977800000002</v>
      </c>
      <c r="P9" s="75">
        <f>'Income Statement'!P24</f>
        <v>220.02644664000005</v>
      </c>
    </row>
    <row r="10" spans="2:16" ht="15" customHeight="1" x14ac:dyDescent="0.3">
      <c r="B10" s="56" t="s">
        <v>118</v>
      </c>
      <c r="C10" s="71">
        <f>-'Income Statement'!C23</f>
        <v>-140</v>
      </c>
      <c r="D10" s="71">
        <f>-'Income Statement'!D23</f>
        <v>-177</v>
      </c>
      <c r="E10" s="71">
        <f>-'Income Statement'!E23</f>
        <v>-259</v>
      </c>
      <c r="F10" s="71">
        <f>-'Income Statement'!F23</f>
        <v>-247</v>
      </c>
      <c r="G10" s="71">
        <f>-'Income Statement'!G23</f>
        <v>-146</v>
      </c>
      <c r="H10" s="71">
        <f>-'Income Statement'!H23</f>
        <v>112</v>
      </c>
      <c r="I10" s="71">
        <f>-'Income Statement'!I23</f>
        <v>-107</v>
      </c>
      <c r="J10" s="71">
        <f>-'Income Statement'!J23</f>
        <v>-116</v>
      </c>
      <c r="K10" s="71">
        <f>-'Income Statement'!K23</f>
        <v>-159</v>
      </c>
      <c r="L10" s="71">
        <f>-'Income Statement'!L23</f>
        <v>-127.19999999999999</v>
      </c>
      <c r="M10" s="71">
        <f>-'Income Statement'!M23</f>
        <v>-352</v>
      </c>
      <c r="N10" s="75">
        <f>-'Income Statement'!N23</f>
        <v>-355.55520000000001</v>
      </c>
      <c r="O10" s="75">
        <f>-'Income Statement'!O23</f>
        <v>-394.66627200000005</v>
      </c>
      <c r="P10" s="75">
        <f>-'Income Statement'!P23</f>
        <v>-412.54958745000005</v>
      </c>
    </row>
    <row r="11" spans="2:16" ht="15" customHeight="1" x14ac:dyDescent="0.3">
      <c r="B11" s="56" t="s">
        <v>119</v>
      </c>
      <c r="C11" s="71">
        <f>-Schedules!C24</f>
        <v>0</v>
      </c>
      <c r="D11" s="71">
        <f>-Schedules!D24</f>
        <v>225</v>
      </c>
      <c r="E11" s="71">
        <f>-Schedules!E24</f>
        <v>179</v>
      </c>
      <c r="F11" s="71">
        <f>-Schedules!F24</f>
        <v>-68</v>
      </c>
      <c r="G11" s="71">
        <f>-Schedules!G24</f>
        <v>-133</v>
      </c>
      <c r="H11" s="71">
        <f>-Schedules!H24</f>
        <v>69</v>
      </c>
      <c r="I11" s="71">
        <f>-Schedules!I24</f>
        <v>56</v>
      </c>
      <c r="J11" s="71">
        <f>-Schedules!J24</f>
        <v>-114</v>
      </c>
      <c r="K11" s="71">
        <f>-Schedules!K24</f>
        <v>439</v>
      </c>
      <c r="L11" s="71">
        <f>-Schedules!L24</f>
        <v>-439</v>
      </c>
      <c r="M11" s="71">
        <f>-Schedules!M24</f>
        <v>-562</v>
      </c>
      <c r="N11" s="75">
        <f>-Schedules!N24</f>
        <v>14.055342465753256</v>
      </c>
      <c r="O11" s="75">
        <f>-Schedules!O24</f>
        <v>74.885769863013593</v>
      </c>
      <c r="P11" s="75">
        <f>-Schedules!P24</f>
        <v>96.301273561643939</v>
      </c>
    </row>
    <row r="12" spans="2:16" ht="15" customHeight="1" thickBot="1" x14ac:dyDescent="0.35">
      <c r="B12" s="56" t="s">
        <v>120</v>
      </c>
      <c r="C12" s="53">
        <v>-503</v>
      </c>
      <c r="D12" s="53">
        <v>-604</v>
      </c>
      <c r="E12" s="53">
        <v>-881</v>
      </c>
      <c r="F12" s="53">
        <v>-673</v>
      </c>
      <c r="G12" s="53">
        <v>-703</v>
      </c>
      <c r="H12" s="53">
        <v>-729</v>
      </c>
      <c r="I12" s="53">
        <v>-841</v>
      </c>
      <c r="J12" s="53">
        <v>-1059</v>
      </c>
      <c r="K12" s="53">
        <v>-1299</v>
      </c>
      <c r="L12" s="85">
        <f>-'Income Statement'!L26*0.95</f>
        <v>-1045</v>
      </c>
      <c r="M12" s="53">
        <v>-1024</v>
      </c>
      <c r="N12" s="75">
        <f>-'Income Statement'!N26*0.95</f>
        <v>-1066.3903624499999</v>
      </c>
      <c r="O12" s="75">
        <f>-'Income Statement'!O26*0.95</f>
        <v>-1204.7970467294999</v>
      </c>
      <c r="P12" s="75">
        <f>-'Income Statement'!P26*0.95</f>
        <v>-1365.922009938371</v>
      </c>
    </row>
    <row r="13" spans="2:16" ht="16.5" customHeight="1" thickTop="1" x14ac:dyDescent="0.3">
      <c r="B13" s="58" t="s">
        <v>121</v>
      </c>
      <c r="C13" s="117">
        <v>1466</v>
      </c>
      <c r="D13" s="117">
        <v>1818</v>
      </c>
      <c r="E13" s="117">
        <v>2052</v>
      </c>
      <c r="F13" s="117">
        <v>2295</v>
      </c>
      <c r="G13" s="117">
        <v>2454</v>
      </c>
      <c r="H13" s="117">
        <v>2236</v>
      </c>
      <c r="I13" s="117">
        <v>2737</v>
      </c>
      <c r="J13" s="117">
        <v>3392</v>
      </c>
      <c r="K13" s="117">
        <v>4175</v>
      </c>
      <c r="L13" s="123">
        <f>L7+L8+L9+L10+L11+L12</f>
        <v>2105.6</v>
      </c>
      <c r="M13" s="117">
        <v>2936</v>
      </c>
      <c r="N13" s="123">
        <f>N7+N8+N9+N10+N11+N12</f>
        <v>2602.9218090157533</v>
      </c>
      <c r="O13" s="123">
        <f>O7+O8+O9+O10+O11+O12</f>
        <v>3028.5425455235136</v>
      </c>
      <c r="P13" s="123">
        <f>P7+P8+P9+P10+P11+P12</f>
        <v>3480.8104333328838</v>
      </c>
    </row>
    <row r="14" spans="2:16" x14ac:dyDescent="0.3">
      <c r="C14" s="91"/>
      <c r="D14" s="91"/>
      <c r="E14" s="91"/>
      <c r="F14" s="91"/>
      <c r="G14" s="91"/>
      <c r="H14" s="91"/>
      <c r="I14" s="91"/>
      <c r="J14" s="91"/>
      <c r="K14" s="91"/>
      <c r="L14" s="91"/>
      <c r="M14" s="91"/>
      <c r="N14" s="91"/>
      <c r="O14" s="91"/>
      <c r="P14" s="91"/>
    </row>
    <row r="15" spans="2:16" ht="15.75" customHeight="1" x14ac:dyDescent="0.3">
      <c r="B15" s="50" t="s">
        <v>122</v>
      </c>
      <c r="C15" s="92"/>
      <c r="D15" s="92"/>
      <c r="E15" s="92"/>
      <c r="F15" s="92"/>
      <c r="G15" s="92"/>
      <c r="H15" s="92"/>
      <c r="I15" s="92"/>
      <c r="J15" s="92"/>
      <c r="K15" s="92"/>
      <c r="L15" s="92"/>
      <c r="M15" s="92"/>
      <c r="N15" s="92"/>
      <c r="O15" s="92"/>
      <c r="P15" s="92"/>
    </row>
    <row r="16" spans="2:16" ht="15" customHeight="1" x14ac:dyDescent="0.3">
      <c r="B16" s="56" t="s">
        <v>123</v>
      </c>
      <c r="C16" s="53">
        <v>-207</v>
      </c>
      <c r="D16" s="53">
        <v>-199</v>
      </c>
      <c r="E16" s="53">
        <v>-166</v>
      </c>
      <c r="F16" s="53">
        <v>-155</v>
      </c>
      <c r="G16" s="53">
        <v>-478</v>
      </c>
      <c r="H16" s="53">
        <v>-735</v>
      </c>
      <c r="I16" s="53">
        <v>-550</v>
      </c>
      <c r="J16" s="53">
        <v>-1371</v>
      </c>
      <c r="K16" s="53">
        <v>-1883</v>
      </c>
      <c r="L16" s="85">
        <f>-Schedules!L8</f>
        <v>-1506.4</v>
      </c>
      <c r="M16" s="53">
        <v>-2009</v>
      </c>
      <c r="N16" s="75">
        <f>-Schedules!N8</f>
        <v>-1555.5540000000001</v>
      </c>
      <c r="O16" s="75">
        <f>-Schedules!O8</f>
        <v>-1603.3317300000003</v>
      </c>
      <c r="P16" s="75">
        <f>-Schedules!P8</f>
        <v>-1512.6818206500002</v>
      </c>
    </row>
    <row r="17" spans="2:16" ht="15" customHeight="1" thickBot="1" x14ac:dyDescent="0.35">
      <c r="B17" s="56" t="s">
        <v>124</v>
      </c>
      <c r="C17" s="53">
        <v>81</v>
      </c>
      <c r="D17" s="53">
        <v>68</v>
      </c>
      <c r="E17" s="53">
        <v>114</v>
      </c>
      <c r="F17" s="53">
        <v>238</v>
      </c>
      <c r="G17" s="53">
        <v>157</v>
      </c>
      <c r="H17" s="53">
        <v>-1185</v>
      </c>
      <c r="I17" s="53">
        <v>158</v>
      </c>
      <c r="J17" s="53">
        <v>444</v>
      </c>
      <c r="K17" s="53">
        <v>646</v>
      </c>
      <c r="L17" s="53"/>
      <c r="M17" s="53">
        <v>198</v>
      </c>
      <c r="N17" s="75">
        <f>Assumptions!C44</f>
        <v>100</v>
      </c>
      <c r="O17" s="75">
        <f>Assumptions!D44</f>
        <v>80</v>
      </c>
      <c r="P17" s="75">
        <f>Assumptions!E44</f>
        <v>60</v>
      </c>
    </row>
    <row r="18" spans="2:16" ht="16.5" customHeight="1" thickTop="1" x14ac:dyDescent="0.3">
      <c r="B18" s="118" t="s">
        <v>125</v>
      </c>
      <c r="C18" s="119">
        <v>-126</v>
      </c>
      <c r="D18" s="119">
        <v>-131</v>
      </c>
      <c r="E18" s="119">
        <v>-52</v>
      </c>
      <c r="F18" s="119">
        <v>83</v>
      </c>
      <c r="G18" s="119">
        <v>-321</v>
      </c>
      <c r="H18" s="119">
        <v>-1920</v>
      </c>
      <c r="I18" s="119">
        <v>-392</v>
      </c>
      <c r="J18" s="119">
        <v>-927</v>
      </c>
      <c r="K18" s="119">
        <v>-1237</v>
      </c>
      <c r="L18" s="119"/>
      <c r="M18" s="119">
        <v>-1811</v>
      </c>
      <c r="N18" s="124">
        <f>N16+N17</f>
        <v>-1455.5540000000001</v>
      </c>
      <c r="O18" s="124">
        <f>O16+O17</f>
        <v>-1523.3317300000003</v>
      </c>
      <c r="P18" s="124">
        <f>P16+P17</f>
        <v>-1452.6818206500002</v>
      </c>
    </row>
    <row r="19" spans="2:16" x14ac:dyDescent="0.3">
      <c r="C19" s="91"/>
      <c r="D19" s="91"/>
      <c r="E19" s="91"/>
      <c r="F19" s="91"/>
      <c r="G19" s="91"/>
      <c r="H19" s="91"/>
      <c r="I19" s="91"/>
      <c r="J19" s="91"/>
      <c r="K19" s="91"/>
      <c r="L19" s="91"/>
      <c r="M19" s="91"/>
      <c r="N19" s="91"/>
      <c r="O19" s="91"/>
      <c r="P19" s="91"/>
    </row>
    <row r="20" spans="2:16" ht="15.75" customHeight="1" x14ac:dyDescent="0.3">
      <c r="B20" s="50" t="s">
        <v>126</v>
      </c>
      <c r="C20" s="92"/>
      <c r="D20" s="92"/>
      <c r="E20" s="92"/>
      <c r="F20" s="92"/>
      <c r="G20" s="92"/>
      <c r="H20" s="92"/>
      <c r="I20" s="92"/>
      <c r="J20" s="92"/>
      <c r="K20" s="92"/>
      <c r="L20" s="92"/>
      <c r="M20" s="92"/>
      <c r="N20" s="92"/>
      <c r="O20" s="92"/>
      <c r="P20" s="92"/>
    </row>
    <row r="21" spans="2:16" ht="15" customHeight="1" x14ac:dyDescent="0.3">
      <c r="B21" s="56" t="s">
        <v>127</v>
      </c>
      <c r="C21" s="71">
        <f>-'Income Statement'!C31</f>
        <v>-564</v>
      </c>
      <c r="D21" s="71">
        <f>-'Income Statement'!D31</f>
        <v>-829</v>
      </c>
      <c r="E21" s="71">
        <f>-'Income Statement'!E31</f>
        <v>-1090</v>
      </c>
      <c r="F21" s="71">
        <f>-'Income Statement'!F31</f>
        <v>-2950</v>
      </c>
      <c r="G21" s="71">
        <f>-'Income Statement'!G31</f>
        <v>-1890</v>
      </c>
      <c r="H21" s="71">
        <f>-'Income Statement'!H31</f>
        <v>-1928</v>
      </c>
      <c r="I21" s="71">
        <f>-'Income Statement'!I31</f>
        <v>-2025</v>
      </c>
      <c r="J21" s="71">
        <f>-'Income Statement'!J31</f>
        <v>-2333</v>
      </c>
      <c r="K21" s="71">
        <f>-'Income Statement'!K31</f>
        <v>-3008</v>
      </c>
      <c r="L21" s="85">
        <f>-'Income Statement'!L31</f>
        <v>-2406.4</v>
      </c>
      <c r="M21" s="71">
        <f>-'Income Statement'!M31</f>
        <v>-2459</v>
      </c>
      <c r="N21" s="75">
        <f>-'Income Statement'!N31</f>
        <v>-2459.6310217499995</v>
      </c>
      <c r="O21" s="75">
        <f>-'Income Statement'!O31</f>
        <v>-2890.0209034242002</v>
      </c>
      <c r="P21" s="75">
        <f>-'Income Statement'!P31</f>
        <v>-3360.5346457100891</v>
      </c>
    </row>
    <row r="22" spans="2:16" ht="15" customHeight="1" x14ac:dyDescent="0.3">
      <c r="B22" s="56" t="s">
        <v>128</v>
      </c>
      <c r="C22" s="71">
        <f>-'Income Statement'!C24</f>
        <v>-91</v>
      </c>
      <c r="D22" s="71">
        <f>-'Income Statement'!D24</f>
        <v>-92</v>
      </c>
      <c r="E22" s="71">
        <f>-'Income Statement'!E24</f>
        <v>-112</v>
      </c>
      <c r="F22" s="71">
        <f>-'Income Statement'!F24</f>
        <v>-129</v>
      </c>
      <c r="G22" s="71">
        <f>-'Income Statement'!G24</f>
        <v>-164</v>
      </c>
      <c r="H22" s="71">
        <f>-'Income Statement'!H24</f>
        <v>-202</v>
      </c>
      <c r="I22" s="71">
        <f>-'Income Statement'!I24</f>
        <v>-155</v>
      </c>
      <c r="J22" s="71">
        <f>-'Income Statement'!J24</f>
        <v>-119</v>
      </c>
      <c r="K22" s="71">
        <f>-'Income Statement'!K24</f>
        <v>-145</v>
      </c>
      <c r="L22" s="85">
        <f>-'Income Statement'!L24</f>
        <v>-116</v>
      </c>
      <c r="M22" s="71">
        <f>-'Income Statement'!M24</f>
        <v>-136</v>
      </c>
      <c r="N22" s="75">
        <f>-'Income Statement'!N24</f>
        <v>-222.22200000000001</v>
      </c>
      <c r="O22" s="75">
        <f>-'Income Statement'!O24</f>
        <v>-221.99977800000002</v>
      </c>
      <c r="P22" s="75">
        <f>-'Income Statement'!P24</f>
        <v>-220.02644664000005</v>
      </c>
    </row>
    <row r="23" spans="2:16" ht="15" customHeight="1" x14ac:dyDescent="0.3">
      <c r="B23" s="56" t="s">
        <v>129</v>
      </c>
      <c r="C23" s="53">
        <v>0</v>
      </c>
      <c r="D23" s="53">
        <v>2</v>
      </c>
      <c r="E23" s="53">
        <v>0</v>
      </c>
      <c r="F23" s="53">
        <v>154</v>
      </c>
      <c r="G23" s="53">
        <v>-42</v>
      </c>
      <c r="H23" s="53">
        <v>119</v>
      </c>
      <c r="I23" s="53">
        <v>5</v>
      </c>
      <c r="J23" s="53">
        <v>0</v>
      </c>
      <c r="K23" s="53">
        <v>74</v>
      </c>
      <c r="L23" s="85">
        <f>Schedules!L30-Schedules!J30</f>
        <v>74</v>
      </c>
      <c r="M23" s="53">
        <v>822</v>
      </c>
      <c r="N23" s="75">
        <f>Schedules!N30-Schedules!M30</f>
        <v>-267</v>
      </c>
      <c r="O23" s="75">
        <f>Schedules!O30-Schedules!N30</f>
        <v>-100</v>
      </c>
      <c r="P23" s="75">
        <f>Schedules!P30-Schedules!O30</f>
        <v>-50</v>
      </c>
    </row>
    <row r="24" spans="2:16" ht="15" customHeight="1" thickBot="1" x14ac:dyDescent="0.35">
      <c r="B24" s="56" t="s">
        <v>130</v>
      </c>
      <c r="C24" s="53">
        <v>-98</v>
      </c>
      <c r="D24" s="53">
        <v>-167</v>
      </c>
      <c r="E24" s="53">
        <v>-224</v>
      </c>
      <c r="F24" s="53">
        <v>-588</v>
      </c>
      <c r="G24" s="53">
        <v>3</v>
      </c>
      <c r="H24" s="53">
        <v>-82</v>
      </c>
      <c r="I24" s="53">
        <v>-80</v>
      </c>
      <c r="J24" s="53">
        <v>-83</v>
      </c>
      <c r="K24" s="53">
        <v>-101</v>
      </c>
      <c r="L24" s="85">
        <f>-Schedules!L29*20%</f>
        <v>-62.6</v>
      </c>
      <c r="M24" s="53">
        <v>-81</v>
      </c>
      <c r="N24" s="75">
        <f>-Schedules!N29*20%</f>
        <v>-90</v>
      </c>
      <c r="O24" s="75">
        <f>-Schedules!O29*20%</f>
        <v>-90.4</v>
      </c>
      <c r="P24" s="75">
        <f>-Schedules!P29*20%</f>
        <v>-90</v>
      </c>
    </row>
    <row r="25" spans="2:16" ht="16.5" customHeight="1" thickTop="1" x14ac:dyDescent="0.3">
      <c r="B25" s="104" t="s">
        <v>131</v>
      </c>
      <c r="C25" s="120">
        <v>-666</v>
      </c>
      <c r="D25" s="120">
        <v>-997</v>
      </c>
      <c r="E25" s="120">
        <v>-1317</v>
      </c>
      <c r="F25" s="120">
        <v>-3602</v>
      </c>
      <c r="G25" s="120">
        <v>-1956</v>
      </c>
      <c r="H25" s="120">
        <v>-2020</v>
      </c>
      <c r="I25" s="120">
        <v>-2123</v>
      </c>
      <c r="J25" s="120">
        <v>-2436</v>
      </c>
      <c r="K25" s="120">
        <v>-3135</v>
      </c>
      <c r="L25" s="125">
        <f>L21+L22+L23+L24</f>
        <v>-2511</v>
      </c>
      <c r="M25" s="120">
        <v>-1848</v>
      </c>
      <c r="N25" s="125">
        <f>N21+N22+N23+N24</f>
        <v>-3038.8530217499997</v>
      </c>
      <c r="O25" s="125">
        <f>O21+O22+O23+O24</f>
        <v>-3302.4206814242002</v>
      </c>
      <c r="P25" s="125">
        <f>P21+P22+P23+P24</f>
        <v>-3720.561092350089</v>
      </c>
    </row>
    <row r="26" spans="2:16" x14ac:dyDescent="0.3">
      <c r="C26" s="91"/>
      <c r="D26" s="91"/>
      <c r="E26" s="91"/>
      <c r="F26" s="91"/>
      <c r="G26" s="91"/>
      <c r="H26" s="91"/>
      <c r="I26" s="91"/>
      <c r="J26" s="91"/>
      <c r="K26" s="91"/>
      <c r="L26" s="91"/>
      <c r="M26" s="91"/>
      <c r="N26" s="91"/>
      <c r="O26" s="91"/>
      <c r="P26" s="91"/>
    </row>
    <row r="27" spans="2:16" ht="15.75" customHeight="1" x14ac:dyDescent="0.3">
      <c r="B27" s="50" t="s">
        <v>132</v>
      </c>
      <c r="C27" s="92"/>
      <c r="D27" s="92"/>
      <c r="E27" s="92"/>
      <c r="F27" s="92"/>
      <c r="G27" s="92"/>
      <c r="H27" s="92"/>
      <c r="I27" s="92"/>
      <c r="J27" s="92"/>
      <c r="K27" s="92"/>
      <c r="L27" s="92"/>
      <c r="M27" s="92"/>
      <c r="N27" s="92"/>
      <c r="O27" s="92"/>
      <c r="P27" s="92"/>
    </row>
    <row r="28" spans="2:16" ht="15" customHeight="1" x14ac:dyDescent="0.3">
      <c r="B28" s="52" t="s">
        <v>133</v>
      </c>
      <c r="C28" s="121">
        <v>674</v>
      </c>
      <c r="D28" s="121">
        <v>691</v>
      </c>
      <c r="E28" s="121">
        <v>683</v>
      </c>
      <c r="F28" s="121">
        <v>-1223</v>
      </c>
      <c r="G28" s="121">
        <v>177</v>
      </c>
      <c r="H28" s="121">
        <v>-1704</v>
      </c>
      <c r="I28" s="121">
        <v>223</v>
      </c>
      <c r="J28" s="121">
        <v>29</v>
      </c>
      <c r="K28" s="121">
        <v>-198</v>
      </c>
      <c r="L28" s="108">
        <f>L13+L18+L25</f>
        <v>-405.40000000000009</v>
      </c>
      <c r="M28" s="121">
        <v>-723</v>
      </c>
      <c r="N28" s="78">
        <f>N13+N18+N25</f>
        <v>-1891.4852127342465</v>
      </c>
      <c r="O28" s="78">
        <f>O13+O18+O25</f>
        <v>-1797.209865900687</v>
      </c>
      <c r="P28" s="78">
        <f>P13+P18+P25</f>
        <v>-1692.4324796672054</v>
      </c>
    </row>
    <row r="29" spans="2:16" ht="15" customHeight="1" thickBot="1" x14ac:dyDescent="0.35">
      <c r="B29" s="56" t="s">
        <v>134</v>
      </c>
      <c r="C29" s="53">
        <v>206</v>
      </c>
      <c r="D29" s="53">
        <v>880</v>
      </c>
      <c r="E29" s="53">
        <v>1457</v>
      </c>
      <c r="F29" s="53">
        <v>1610</v>
      </c>
      <c r="G29" s="53">
        <v>1308</v>
      </c>
      <c r="H29" s="53">
        <v>1770</v>
      </c>
      <c r="I29" s="53">
        <v>735</v>
      </c>
      <c r="J29" s="53">
        <v>946</v>
      </c>
      <c r="K29" s="53">
        <v>946</v>
      </c>
      <c r="L29" s="71">
        <f>J30</f>
        <v>946</v>
      </c>
      <c r="M29" s="53">
        <v>779</v>
      </c>
      <c r="N29" s="75">
        <f>M30</f>
        <v>96</v>
      </c>
      <c r="O29" s="75">
        <f>N30</f>
        <v>-1795.4852127342465</v>
      </c>
      <c r="P29" s="75">
        <f>O30</f>
        <v>-3592.6950786349335</v>
      </c>
    </row>
    <row r="30" spans="2:16" ht="18" customHeight="1" thickTop="1" thickBot="1" x14ac:dyDescent="0.35">
      <c r="B30" s="58" t="s">
        <v>135</v>
      </c>
      <c r="C30" s="63">
        <v>880</v>
      </c>
      <c r="D30" s="63">
        <v>1457</v>
      </c>
      <c r="E30" s="63">
        <v>1610</v>
      </c>
      <c r="F30" s="63">
        <v>1308</v>
      </c>
      <c r="G30" s="63">
        <v>1770</v>
      </c>
      <c r="H30" s="63">
        <v>735</v>
      </c>
      <c r="I30" s="63">
        <v>946</v>
      </c>
      <c r="J30" s="63">
        <v>946</v>
      </c>
      <c r="K30" s="63">
        <v>779</v>
      </c>
      <c r="L30" s="82">
        <f>J30+L28</f>
        <v>540.59999999999991</v>
      </c>
      <c r="M30" s="63">
        <v>96</v>
      </c>
      <c r="N30" s="82">
        <f>M30+N28</f>
        <v>-1795.4852127342465</v>
      </c>
      <c r="O30" s="82">
        <f>N30+O28</f>
        <v>-3592.6950786349335</v>
      </c>
      <c r="P30" s="82">
        <f>O30+P28</f>
        <v>-5285.1275583021388</v>
      </c>
    </row>
    <row r="31" spans="2:16" x14ac:dyDescent="0.3">
      <c r="C31" s="91"/>
      <c r="D31" s="91"/>
      <c r="E31" s="91"/>
      <c r="F31" s="91"/>
      <c r="G31" s="91"/>
      <c r="H31" s="91"/>
      <c r="I31" s="91"/>
      <c r="J31" s="91"/>
      <c r="K31" s="91"/>
      <c r="L31" s="91"/>
      <c r="M31" s="91"/>
      <c r="N31" s="91"/>
      <c r="O31" s="91"/>
      <c r="P31" s="91"/>
    </row>
    <row r="32" spans="2:16" ht="15" customHeight="1" x14ac:dyDescent="0.3">
      <c r="B32" s="52" t="s">
        <v>136</v>
      </c>
      <c r="C32" s="122">
        <v>1353</v>
      </c>
      <c r="D32" s="122">
        <v>1622</v>
      </c>
      <c r="E32" s="122">
        <v>1890</v>
      </c>
      <c r="F32" s="122">
        <v>2143</v>
      </c>
      <c r="G32" s="122">
        <v>1980</v>
      </c>
      <c r="H32" s="122">
        <v>1505</v>
      </c>
      <c r="I32" s="122">
        <v>2197</v>
      </c>
      <c r="J32" s="122">
        <v>2028</v>
      </c>
      <c r="K32" s="122">
        <v>2296</v>
      </c>
      <c r="L32" s="72">
        <f>L13+L16</f>
        <v>599.19999999999982</v>
      </c>
      <c r="M32" s="122">
        <v>932</v>
      </c>
      <c r="N32" s="72">
        <f>N13+N16</f>
        <v>1047.3678090157532</v>
      </c>
      <c r="O32" s="72">
        <f>O13+O16</f>
        <v>1425.2108155235132</v>
      </c>
      <c r="P32" s="72">
        <f>P13+P16</f>
        <v>1968.1286126828836</v>
      </c>
    </row>
  </sheetData>
  <sheetProtection algorithmName="SHA-512" hashValue="VWXe5po96Y42KVp2VDRlP1RqjH5JjdWrml4IqPVO2Gn5bz+TO1i6J7SWPberMjqA0OUXRBfWV2r5oG2uvLfyAg==" saltValue="8Q7xbHR4xFfbOlu/plSrUw==" spinCount="100000" sheet="1" objects="1" scenarios="1"/>
  <mergeCells count="3">
    <mergeCell ref="B1:P1"/>
    <mergeCell ref="C3:M3"/>
    <mergeCell ref="N3:P3"/>
  </mergeCells>
  <pageMargins left="0.75" right="0.75" top="1.25" bottom="1" header="0.511811023622047" footer="0.511811023622047"/>
  <pageSetup paperSize="9" scale="62" fitToHeight="0"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1F3864"/>
    <pageSetUpPr fitToPage="1"/>
  </sheetPr>
  <dimension ref="B1:R36"/>
  <sheetViews>
    <sheetView showGridLines="0" tabSelected="1" topLeftCell="A26" zoomScale="71" zoomScaleNormal="99" workbookViewId="0">
      <selection activeCell="S38" sqref="S38"/>
    </sheetView>
  </sheetViews>
  <sheetFormatPr defaultColWidth="8.6640625" defaultRowHeight="14.4" x14ac:dyDescent="0.3"/>
  <cols>
    <col min="1" max="1" width="2.33203125" style="2" customWidth="1"/>
    <col min="2" max="2" width="30" style="2" customWidth="1"/>
    <col min="3" max="3" width="8" style="2" customWidth="1"/>
    <col min="4" max="11" width="11" style="2" customWidth="1"/>
    <col min="12" max="12" width="12.109375" style="2" bestFit="1" customWidth="1"/>
    <col min="13" max="13" width="13.88671875" style="2" customWidth="1"/>
    <col min="14" max="17" width="11" style="2" customWidth="1"/>
    <col min="18" max="16384" width="8.6640625" style="2"/>
  </cols>
  <sheetData>
    <row r="1" spans="2:18" ht="36" customHeight="1" x14ac:dyDescent="0.3">
      <c r="B1" s="183" t="s">
        <v>137</v>
      </c>
      <c r="C1" s="183"/>
      <c r="D1" s="183"/>
      <c r="E1" s="183"/>
      <c r="F1" s="183"/>
      <c r="G1" s="183"/>
      <c r="H1" s="183"/>
      <c r="I1" s="183"/>
      <c r="J1" s="183"/>
      <c r="K1" s="183"/>
      <c r="L1" s="183"/>
      <c r="M1" s="183"/>
      <c r="N1" s="183"/>
      <c r="O1" s="183"/>
      <c r="P1" s="183"/>
      <c r="Q1" s="183"/>
    </row>
    <row r="2" spans="2:18" ht="6" customHeight="1" x14ac:dyDescent="0.3"/>
    <row r="3" spans="2:18" ht="15.75" customHeight="1" x14ac:dyDescent="0.3">
      <c r="B3" s="50" t="s">
        <v>138</v>
      </c>
      <c r="C3" s="51"/>
      <c r="D3" s="51"/>
      <c r="E3" s="51"/>
      <c r="F3" s="51"/>
      <c r="G3" s="51"/>
      <c r="H3" s="51"/>
      <c r="I3" s="51"/>
      <c r="J3" s="51"/>
      <c r="K3" s="51"/>
      <c r="L3" s="51"/>
      <c r="M3" s="51"/>
      <c r="N3" s="51"/>
      <c r="O3" s="51"/>
      <c r="P3" s="51"/>
      <c r="Q3" s="51"/>
    </row>
    <row r="4" spans="2:18" ht="15" thickBot="1" x14ac:dyDescent="0.35">
      <c r="B4" s="126" t="s">
        <v>139</v>
      </c>
      <c r="C4" s="67" t="s">
        <v>140</v>
      </c>
      <c r="D4" s="68">
        <f>'Balance Sheet'!C4</f>
        <v>42370</v>
      </c>
      <c r="E4" s="68">
        <f>'Balance Sheet'!D4</f>
        <v>42736</v>
      </c>
      <c r="F4" s="68">
        <f>'Balance Sheet'!E4</f>
        <v>43102</v>
      </c>
      <c r="G4" s="68">
        <f>'Balance Sheet'!F4</f>
        <v>43468</v>
      </c>
      <c r="H4" s="68">
        <f>'Balance Sheet'!G4</f>
        <v>43834</v>
      </c>
      <c r="I4" s="68">
        <f>'Balance Sheet'!H4</f>
        <v>44200</v>
      </c>
      <c r="J4" s="68">
        <f>'Balance Sheet'!I4</f>
        <v>44566</v>
      </c>
      <c r="K4" s="68">
        <f>'Balance Sheet'!J4</f>
        <v>44932</v>
      </c>
      <c r="L4" s="69">
        <f>'Cash Flow'!K4</f>
        <v>45298</v>
      </c>
      <c r="M4" s="127" t="s">
        <v>171</v>
      </c>
      <c r="N4" s="68">
        <f>'Balance Sheet'!M4</f>
        <v>45664</v>
      </c>
      <c r="O4" s="135">
        <f>'Balance Sheet'!N4</f>
        <v>46030</v>
      </c>
      <c r="P4" s="135">
        <f>'Balance Sheet'!O4</f>
        <v>46396</v>
      </c>
      <c r="Q4" s="135">
        <f>'Balance Sheet'!P4</f>
        <v>46762</v>
      </c>
    </row>
    <row r="5" spans="2:18" ht="15" customHeight="1" x14ac:dyDescent="0.3">
      <c r="B5" s="128" t="s">
        <v>141</v>
      </c>
      <c r="C5" s="129" t="s">
        <v>142</v>
      </c>
      <c r="D5" s="136">
        <f>'Income Statement'!C7</f>
        <v>9141</v>
      </c>
      <c r="E5" s="136">
        <f>'Income Statement'!D7</f>
        <v>10010</v>
      </c>
      <c r="F5" s="136">
        <f>'Income Statement'!E7</f>
        <v>11292</v>
      </c>
      <c r="G5" s="136">
        <f>'Income Statement'!F7</f>
        <v>12369</v>
      </c>
      <c r="H5" s="136">
        <f>'Income Statement'!G7</f>
        <v>13350</v>
      </c>
      <c r="I5" s="136">
        <f>'Income Statement'!H7</f>
        <v>14741</v>
      </c>
      <c r="J5" s="136">
        <f>'Income Statement'!I7</f>
        <v>16897</v>
      </c>
      <c r="K5" s="136">
        <f>'Income Statement'!J7</f>
        <v>19126</v>
      </c>
      <c r="L5" s="136">
        <f>'Income Statement'!K7</f>
        <v>24394</v>
      </c>
      <c r="M5" s="136">
        <f>'Income Statement'!L7</f>
        <v>19515.2</v>
      </c>
      <c r="N5" s="136">
        <f>'Income Statement'!M7</f>
        <v>20202</v>
      </c>
      <c r="O5" s="136">
        <f>'Income Statement'!N7</f>
        <v>22222.2</v>
      </c>
      <c r="P5" s="136">
        <f>'Income Statement'!O7</f>
        <v>24666.642000000003</v>
      </c>
      <c r="Q5" s="136">
        <f>'Income Statement'!P7</f>
        <v>27503.305830000005</v>
      </c>
    </row>
    <row r="6" spans="2:18" ht="15" customHeight="1" x14ac:dyDescent="0.3">
      <c r="B6" s="130" t="s">
        <v>169</v>
      </c>
      <c r="C6" s="129"/>
      <c r="D6" s="131"/>
      <c r="E6" s="137">
        <f>'Income Statement'!D8</f>
        <v>9.5066185318892896E-2</v>
      </c>
      <c r="F6" s="137">
        <f>'Income Statement'!E8</f>
        <v>0.12807192807192808</v>
      </c>
      <c r="G6" s="137">
        <f>'Income Statement'!F8</f>
        <v>9.5377258235919235E-2</v>
      </c>
      <c r="H6" s="137">
        <f>'Income Statement'!G8</f>
        <v>7.931118117875334E-2</v>
      </c>
      <c r="I6" s="137">
        <f>'Income Statement'!H8</f>
        <v>0.10419475655430711</v>
      </c>
      <c r="J6" s="137">
        <f>'Income Statement'!I8</f>
        <v>0.14625873414286683</v>
      </c>
      <c r="K6" s="137">
        <f>'Income Statement'!J8</f>
        <v>0.13191690832692193</v>
      </c>
      <c r="L6" s="137">
        <f>'Income Statement'!K8</f>
        <v>0.2754365784795566</v>
      </c>
      <c r="M6" s="137">
        <f>'Income Statement'!L8</f>
        <v>2.0349262783645336E-2</v>
      </c>
      <c r="N6" s="137" t="e">
        <f>NA()</f>
        <v>#N/A</v>
      </c>
      <c r="O6" s="137">
        <f>'Income Statement'!N8</f>
        <v>0.1</v>
      </c>
      <c r="P6" s="137">
        <f>'Income Statement'!O8</f>
        <v>0.11</v>
      </c>
      <c r="Q6" s="137">
        <f>'Income Statement'!P8</f>
        <v>0.11499999999999999</v>
      </c>
    </row>
    <row r="7" spans="2:18" ht="15" customHeight="1" x14ac:dyDescent="0.3">
      <c r="B7" s="56" t="s">
        <v>143</v>
      </c>
      <c r="C7" s="45" t="s">
        <v>142</v>
      </c>
      <c r="D7" s="138">
        <f>'Income Statement'!C16</f>
        <v>1850</v>
      </c>
      <c r="E7" s="138">
        <f>'Income Statement'!D16</f>
        <v>2097</v>
      </c>
      <c r="F7" s="138">
        <f>'Income Statement'!E16</f>
        <v>2618</v>
      </c>
      <c r="G7" s="138">
        <f>'Income Statement'!F16</f>
        <v>2926</v>
      </c>
      <c r="H7" s="138">
        <f>'Income Statement'!G16</f>
        <v>3202</v>
      </c>
      <c r="I7" s="138">
        <f>'Income Statement'!H16</f>
        <v>3562</v>
      </c>
      <c r="J7" s="138">
        <f>'Income Statement'!I16</f>
        <v>3706</v>
      </c>
      <c r="K7" s="138">
        <f>'Income Statement'!J16</f>
        <v>4471</v>
      </c>
      <c r="L7" s="138">
        <f>'Income Statement'!K16</f>
        <v>5843</v>
      </c>
      <c r="M7" s="138">
        <f>'Income Statement'!L16</f>
        <v>4674.4000000000005</v>
      </c>
      <c r="N7" s="138">
        <f>'Income Statement'!M16</f>
        <v>4771</v>
      </c>
      <c r="O7" s="138">
        <f>'Income Statement'!N16</f>
        <v>4777.7730000000001</v>
      </c>
      <c r="P7" s="138">
        <f>'Income Statement'!O16</f>
        <v>5426.6612400000004</v>
      </c>
      <c r="Q7" s="138">
        <f>'Income Statement'!P16</f>
        <v>6188.2438117500014</v>
      </c>
    </row>
    <row r="8" spans="2:18" ht="15" customHeight="1" x14ac:dyDescent="0.3">
      <c r="B8" s="128" t="s">
        <v>144</v>
      </c>
      <c r="C8" s="129" t="s">
        <v>145</v>
      </c>
      <c r="D8" s="139">
        <f>'Income Statement'!C17</f>
        <v>0.20238485942457063</v>
      </c>
      <c r="E8" s="139">
        <f>'Income Statement'!D17</f>
        <v>0.20949050949050949</v>
      </c>
      <c r="F8" s="139">
        <f>'Income Statement'!E17</f>
        <v>0.23184555437477861</v>
      </c>
      <c r="G8" s="139">
        <f>'Income Statement'!F17</f>
        <v>0.23655913978494625</v>
      </c>
      <c r="H8" s="139">
        <f>'Income Statement'!G17</f>
        <v>0.23985018726591761</v>
      </c>
      <c r="I8" s="139">
        <f>'Income Statement'!H17</f>
        <v>0.24163896614883656</v>
      </c>
      <c r="J8" s="139">
        <f>'Income Statement'!I17</f>
        <v>0.21932887494821565</v>
      </c>
      <c r="K8" s="139">
        <f>'Income Statement'!J17</f>
        <v>0.2337655547422357</v>
      </c>
      <c r="L8" s="139">
        <f>'Income Statement'!K17</f>
        <v>0.2395261129786013</v>
      </c>
      <c r="M8" s="139">
        <f>'Income Statement'!L17</f>
        <v>0.23952611297860132</v>
      </c>
      <c r="N8" s="139">
        <f>'Income Statement'!M17</f>
        <v>0.23616473616473616</v>
      </c>
      <c r="O8" s="139">
        <f>'Income Statement'!N17</f>
        <v>0.215</v>
      </c>
      <c r="P8" s="139">
        <f>'Income Statement'!O17</f>
        <v>0.22</v>
      </c>
      <c r="Q8" s="139">
        <f>'Income Statement'!P17</f>
        <v>0.22500000000000001</v>
      </c>
    </row>
    <row r="9" spans="2:18" ht="15" customHeight="1" x14ac:dyDescent="0.3">
      <c r="B9" s="56" t="s">
        <v>146</v>
      </c>
      <c r="C9" s="45" t="s">
        <v>142</v>
      </c>
      <c r="D9" s="138">
        <f>'Income Statement'!C18</f>
        <v>354</v>
      </c>
      <c r="E9" s="138">
        <f>'Income Statement'!D18</f>
        <v>342</v>
      </c>
      <c r="F9" s="138">
        <f>'Income Statement'!E18</f>
        <v>336</v>
      </c>
      <c r="G9" s="138">
        <f>'Income Statement'!F18</f>
        <v>370</v>
      </c>
      <c r="H9" s="138">
        <f>'Income Statement'!G18</f>
        <v>370</v>
      </c>
      <c r="I9" s="138">
        <f>'Income Statement'!H18</f>
        <v>391</v>
      </c>
      <c r="J9" s="138">
        <f>'Income Statement'!I18</f>
        <v>403</v>
      </c>
      <c r="K9" s="138">
        <f>'Income Statement'!J18</f>
        <v>429</v>
      </c>
      <c r="L9" s="138">
        <f>'Income Statement'!K18</f>
        <v>568</v>
      </c>
      <c r="M9" s="138">
        <f>'Income Statement'!L18</f>
        <v>454.4</v>
      </c>
      <c r="N9" s="138">
        <f>'Income Statement'!M18</f>
        <v>540</v>
      </c>
      <c r="O9" s="138">
        <f>'Income Statement'!N18</f>
        <v>509.08199999999999</v>
      </c>
      <c r="P9" s="138">
        <f>'Income Statement'!O18</f>
        <v>625.96531200000004</v>
      </c>
      <c r="Q9" s="138">
        <f>'Income Statement'!P18</f>
        <v>742.28600338199999</v>
      </c>
      <c r="R9" s="132"/>
    </row>
    <row r="10" spans="2:18" ht="15" customHeight="1" x14ac:dyDescent="0.3">
      <c r="B10" s="128" t="s">
        <v>147</v>
      </c>
      <c r="C10" s="129" t="s">
        <v>142</v>
      </c>
      <c r="D10" s="136">
        <f>'Income Statement'!C27</f>
        <v>1001</v>
      </c>
      <c r="E10" s="136">
        <f>'Income Statement'!D27</f>
        <v>1225</v>
      </c>
      <c r="F10" s="136">
        <f>'Income Statement'!E27</f>
        <v>1607</v>
      </c>
      <c r="G10" s="136">
        <f>'Income Statement'!F27</f>
        <v>1968</v>
      </c>
      <c r="H10" s="136">
        <f>'Income Statement'!G27</f>
        <v>2082</v>
      </c>
      <c r="I10" s="136">
        <f>'Income Statement'!H27</f>
        <v>2118</v>
      </c>
      <c r="J10" s="136">
        <f>'Income Statement'!I27</f>
        <v>2391</v>
      </c>
      <c r="K10" s="136">
        <f>'Income Statement'!J27</f>
        <v>2999</v>
      </c>
      <c r="L10" s="136">
        <f>'Income Statement'!K27</f>
        <v>3933</v>
      </c>
      <c r="M10" s="136">
        <f>'Income Statement'!L27</f>
        <v>3146.3999999999996</v>
      </c>
      <c r="N10" s="136">
        <f>'Income Statement'!M27</f>
        <v>3314</v>
      </c>
      <c r="O10" s="136">
        <f>'Income Statement'!N27</f>
        <v>3279.5080289999996</v>
      </c>
      <c r="P10" s="136">
        <f>'Income Statement'!O27</f>
        <v>3705.1550043900002</v>
      </c>
      <c r="Q10" s="136">
        <f>'Income Statement'!P27</f>
        <v>4200.668307137611</v>
      </c>
    </row>
    <row r="11" spans="2:18" ht="15" customHeight="1" x14ac:dyDescent="0.3">
      <c r="B11" s="56" t="s">
        <v>148</v>
      </c>
      <c r="C11" s="45" t="s">
        <v>145</v>
      </c>
      <c r="D11" s="140">
        <f>'Income Statement'!C27/'Income Statement'!C7</f>
        <v>0.1095066185318893</v>
      </c>
      <c r="E11" s="140">
        <f>'Income Statement'!D27/'Income Statement'!D7</f>
        <v>0.12237762237762238</v>
      </c>
      <c r="F11" s="140">
        <f>'Income Statement'!E27/'Income Statement'!E7</f>
        <v>0.14231314204746723</v>
      </c>
      <c r="G11" s="140">
        <f>'Income Statement'!F27/'Income Statement'!F7</f>
        <v>0.15910744603444094</v>
      </c>
      <c r="H11" s="140">
        <f>'Income Statement'!G27/'Income Statement'!G7</f>
        <v>0.15595505617977529</v>
      </c>
      <c r="I11" s="140">
        <f>'Income Statement'!H27/'Income Statement'!H7</f>
        <v>0.14368089003459739</v>
      </c>
      <c r="J11" s="140">
        <f>'Income Statement'!I27/'Income Statement'!I7</f>
        <v>0.14150440906669823</v>
      </c>
      <c r="K11" s="140">
        <f>'Income Statement'!J27/'Income Statement'!J7</f>
        <v>0.15680225870542716</v>
      </c>
      <c r="L11" s="140">
        <f>'Income Statement'!K27/'Income Statement'!K7</f>
        <v>0.16122817086168731</v>
      </c>
      <c r="M11" s="140">
        <f>'Income Statement'!L27/'Income Statement'!L7</f>
        <v>0.16122817086168728</v>
      </c>
      <c r="N11" s="140">
        <f>'Income Statement'!M27/'Income Statement'!M7</f>
        <v>0.16404316404316405</v>
      </c>
      <c r="O11" s="140">
        <f>'Income Statement'!N27/'Income Statement'!N7</f>
        <v>0.14757800888300887</v>
      </c>
      <c r="P11" s="140">
        <f>'Income Statement'!O27/'Income Statement'!O7</f>
        <v>0.15020913687359633</v>
      </c>
      <c r="Q11" s="140">
        <f>'Income Statement'!P27/'Income Statement'!P7</f>
        <v>0.15273321443982976</v>
      </c>
    </row>
    <row r="12" spans="2:18" ht="15" customHeight="1" x14ac:dyDescent="0.3">
      <c r="B12" s="128" t="s">
        <v>149</v>
      </c>
      <c r="C12" s="129" t="s">
        <v>150</v>
      </c>
      <c r="D12" s="136">
        <f>'Income Statement'!C37</f>
        <v>5.19</v>
      </c>
      <c r="E12" s="136">
        <f>'Income Statement'!D37</f>
        <v>6.35</v>
      </c>
      <c r="F12" s="136">
        <f>'Income Statement'!E37</f>
        <v>8.33</v>
      </c>
      <c r="G12" s="136">
        <f>'Income Statement'!F37</f>
        <v>10.210000000000001</v>
      </c>
      <c r="H12" s="136">
        <f>'Income Statement'!G37</f>
        <v>10.8</v>
      </c>
      <c r="I12" s="136">
        <f>'Income Statement'!H37</f>
        <v>10.99</v>
      </c>
      <c r="J12" s="136">
        <f>'Income Statement'!I37</f>
        <v>12.4</v>
      </c>
      <c r="K12" s="136">
        <f>'Income Statement'!J37</f>
        <v>15.55</v>
      </c>
      <c r="L12" s="136">
        <f>'Income Statement'!K37</f>
        <v>20.399999999999999</v>
      </c>
      <c r="M12" s="136">
        <f>'Income Statement'!L37</f>
        <v>15.861000000000001</v>
      </c>
      <c r="N12" s="136">
        <f>'Income Statement'!M37</f>
        <v>17.447100000000002</v>
      </c>
      <c r="O12" s="136">
        <f>'Income Statement'!N37</f>
        <v>19.191810000000004</v>
      </c>
      <c r="P12" s="136">
        <f>'Income Statement'!O37</f>
        <v>21.110991000000006</v>
      </c>
      <c r="Q12" s="136">
        <f>'Income Statement'!P37</f>
        <v>23.22209010000001</v>
      </c>
    </row>
    <row r="13" spans="2:18" ht="15" customHeight="1" x14ac:dyDescent="0.3">
      <c r="B13" s="56" t="s">
        <v>151</v>
      </c>
      <c r="C13" s="45" t="s">
        <v>142</v>
      </c>
      <c r="D13" s="138">
        <f>'Cash Flow'!C13</f>
        <v>1466</v>
      </c>
      <c r="E13" s="138">
        <f>'Cash Flow'!D13</f>
        <v>1818</v>
      </c>
      <c r="F13" s="138">
        <f>'Cash Flow'!E13</f>
        <v>2052</v>
      </c>
      <c r="G13" s="138">
        <f>'Cash Flow'!F13</f>
        <v>2295</v>
      </c>
      <c r="H13" s="138">
        <f>'Cash Flow'!G13</f>
        <v>2454</v>
      </c>
      <c r="I13" s="138">
        <f>'Cash Flow'!H13</f>
        <v>2236</v>
      </c>
      <c r="J13" s="138">
        <f>'Cash Flow'!I13</f>
        <v>2737</v>
      </c>
      <c r="K13" s="138">
        <f>'Cash Flow'!J13</f>
        <v>3392</v>
      </c>
      <c r="L13" s="138">
        <f>'Cash Flow'!K13</f>
        <v>4175</v>
      </c>
      <c r="M13" s="138">
        <f>'Cash Flow'!L13</f>
        <v>2105.6</v>
      </c>
      <c r="N13" s="138">
        <f>'Cash Flow'!M13</f>
        <v>2936</v>
      </c>
      <c r="O13" s="138">
        <f>'Cash Flow'!N13</f>
        <v>2602.9218090157533</v>
      </c>
      <c r="P13" s="138">
        <f>'Cash Flow'!O13</f>
        <v>3028.5425455235136</v>
      </c>
      <c r="Q13" s="138">
        <f>'Cash Flow'!P13</f>
        <v>3480.8104333328838</v>
      </c>
    </row>
    <row r="14" spans="2:18" ht="15" customHeight="1" x14ac:dyDescent="0.3">
      <c r="B14" s="128" t="s">
        <v>152</v>
      </c>
      <c r="C14" s="129" t="s">
        <v>142</v>
      </c>
      <c r="D14" s="136">
        <f>-Schedules!C8</f>
        <v>-207</v>
      </c>
      <c r="E14" s="136">
        <f>-Schedules!D8</f>
        <v>-199</v>
      </c>
      <c r="F14" s="136">
        <f>-Schedules!E8</f>
        <v>-166</v>
      </c>
      <c r="G14" s="136">
        <f>-Schedules!F8</f>
        <v>-155</v>
      </c>
      <c r="H14" s="136">
        <f>-Schedules!G8</f>
        <v>-478</v>
      </c>
      <c r="I14" s="136">
        <f>-Schedules!H8</f>
        <v>-735</v>
      </c>
      <c r="J14" s="136">
        <f>-Schedules!I8</f>
        <v>-550</v>
      </c>
      <c r="K14" s="136">
        <f>-Schedules!J8</f>
        <v>-1371</v>
      </c>
      <c r="L14" s="136">
        <f>-Schedules!K8</f>
        <v>-1883</v>
      </c>
      <c r="M14" s="136">
        <f>-Schedules!L8</f>
        <v>-1506.4</v>
      </c>
      <c r="N14" s="136">
        <f>-Schedules!M8</f>
        <v>-2009</v>
      </c>
      <c r="O14" s="136">
        <f>-Schedules!N8</f>
        <v>-1555.5540000000001</v>
      </c>
      <c r="P14" s="136">
        <f>-Schedules!O8</f>
        <v>-1603.3317300000003</v>
      </c>
      <c r="Q14" s="136">
        <f>-Schedules!P8</f>
        <v>-1512.6818206500002</v>
      </c>
    </row>
    <row r="15" spans="2:18" ht="15" customHeight="1" x14ac:dyDescent="0.3">
      <c r="B15" s="56" t="s">
        <v>153</v>
      </c>
      <c r="C15" s="45" t="s">
        <v>142</v>
      </c>
      <c r="D15" s="138">
        <f>'Cash Flow'!C32</f>
        <v>1353</v>
      </c>
      <c r="E15" s="138">
        <f>'Cash Flow'!D32</f>
        <v>1622</v>
      </c>
      <c r="F15" s="138">
        <f>'Cash Flow'!E32</f>
        <v>1890</v>
      </c>
      <c r="G15" s="138">
        <f>'Cash Flow'!F32</f>
        <v>2143</v>
      </c>
      <c r="H15" s="138">
        <f>'Cash Flow'!G32</f>
        <v>1980</v>
      </c>
      <c r="I15" s="138">
        <f>'Cash Flow'!H32</f>
        <v>1505</v>
      </c>
      <c r="J15" s="138">
        <f>'Cash Flow'!I32</f>
        <v>2197</v>
      </c>
      <c r="K15" s="138">
        <f>'Cash Flow'!J32</f>
        <v>2028</v>
      </c>
      <c r="L15" s="138">
        <f>'Cash Flow'!K32</f>
        <v>2296</v>
      </c>
      <c r="M15" s="138">
        <f>'Cash Flow'!L32</f>
        <v>599.19999999999982</v>
      </c>
      <c r="N15" s="138">
        <f>'Cash Flow'!M32</f>
        <v>932</v>
      </c>
      <c r="O15" s="138">
        <f>'Cash Flow'!N32</f>
        <v>1047.3678090157532</v>
      </c>
      <c r="P15" s="138">
        <f>'Cash Flow'!O32</f>
        <v>1425.2108155235132</v>
      </c>
      <c r="Q15" s="138">
        <f>'Cash Flow'!P32</f>
        <v>1968.1286126828836</v>
      </c>
    </row>
    <row r="16" spans="2:18" ht="15" customHeight="1" x14ac:dyDescent="0.3">
      <c r="B16" s="128" t="s">
        <v>154</v>
      </c>
      <c r="C16" s="129" t="s">
        <v>142</v>
      </c>
      <c r="D16" s="136">
        <f>'Cash Flow'!C30</f>
        <v>880</v>
      </c>
      <c r="E16" s="136">
        <f>'Cash Flow'!D30</f>
        <v>1457</v>
      </c>
      <c r="F16" s="136">
        <f>'Cash Flow'!E30</f>
        <v>1610</v>
      </c>
      <c r="G16" s="136">
        <f>'Cash Flow'!F30</f>
        <v>1308</v>
      </c>
      <c r="H16" s="136">
        <f>'Cash Flow'!G30</f>
        <v>1770</v>
      </c>
      <c r="I16" s="136">
        <f>'Cash Flow'!H30</f>
        <v>735</v>
      </c>
      <c r="J16" s="136">
        <f>'Cash Flow'!I30</f>
        <v>946</v>
      </c>
      <c r="K16" s="136">
        <f>'Cash Flow'!J30</f>
        <v>946</v>
      </c>
      <c r="L16" s="136">
        <f>'Cash Flow'!K30</f>
        <v>779</v>
      </c>
      <c r="M16" s="136">
        <f>'Cash Flow'!L30</f>
        <v>540.59999999999991</v>
      </c>
      <c r="N16" s="136">
        <f>'Cash Flow'!M30</f>
        <v>96</v>
      </c>
      <c r="O16" s="136">
        <f>'Cash Flow'!N30</f>
        <v>-1795.4852127342465</v>
      </c>
      <c r="P16" s="136">
        <f>'Cash Flow'!O30</f>
        <v>-3592.6950786349335</v>
      </c>
      <c r="Q16" s="136">
        <f>'Cash Flow'!P30</f>
        <v>-5285.1275583021388</v>
      </c>
    </row>
    <row r="17" spans="2:17" ht="15" customHeight="1" x14ac:dyDescent="0.3">
      <c r="B17" s="56" t="s">
        <v>155</v>
      </c>
      <c r="C17" s="45" t="s">
        <v>142</v>
      </c>
      <c r="D17" s="138">
        <f>'Balance Sheet'!C21</f>
        <v>6810</v>
      </c>
      <c r="E17" s="138">
        <f>'Balance Sheet'!D21</f>
        <v>7363</v>
      </c>
      <c r="F17" s="138">
        <f>'Balance Sheet'!E21</f>
        <v>8088</v>
      </c>
      <c r="G17" s="138">
        <f>'Balance Sheet'!F21</f>
        <v>7173</v>
      </c>
      <c r="H17" s="138">
        <f>'Balance Sheet'!G21</f>
        <v>7900</v>
      </c>
      <c r="I17" s="138">
        <f>'Balance Sheet'!H21</f>
        <v>8234</v>
      </c>
      <c r="J17" s="138">
        <f>'Balance Sheet'!I21</f>
        <v>8979</v>
      </c>
      <c r="K17" s="138">
        <f>'Balance Sheet'!J21</f>
        <v>8979</v>
      </c>
      <c r="L17" s="138">
        <f>'Balance Sheet'!K21</f>
        <v>10523</v>
      </c>
      <c r="M17" s="138">
        <f>'Balance Sheet'!L21</f>
        <v>10565.387199999999</v>
      </c>
      <c r="N17" s="138">
        <f>'Balance Sheet'!M21</f>
        <v>12324</v>
      </c>
      <c r="O17" s="138">
        <f>'Balance Sheet'!N21</f>
        <v>11561.510431101371</v>
      </c>
      <c r="P17" s="138">
        <f>'Balance Sheet'!O21</f>
        <v>11039.43817492671</v>
      </c>
      <c r="Q17" s="138">
        <f>'Balance Sheet'!P21</f>
        <v>10483.480672475176</v>
      </c>
    </row>
    <row r="18" spans="2:17" ht="15" customHeight="1" x14ac:dyDescent="0.3">
      <c r="B18" s="128" t="s">
        <v>156</v>
      </c>
      <c r="C18" s="129" t="s">
        <v>142</v>
      </c>
      <c r="D18" s="136">
        <f>'Balance Sheet'!C30</f>
        <v>3282</v>
      </c>
      <c r="E18" s="136">
        <f>'Balance Sheet'!D30</f>
        <v>3420</v>
      </c>
      <c r="F18" s="136">
        <f>'Balance Sheet'!E30</f>
        <v>4117</v>
      </c>
      <c r="G18" s="136">
        <f>'Balance Sheet'!F30</f>
        <v>1918</v>
      </c>
      <c r="H18" s="136">
        <f>'Balance Sheet'!G30</f>
        <v>2019</v>
      </c>
      <c r="I18" s="136">
        <f>'Balance Sheet'!H30</f>
        <v>1946</v>
      </c>
      <c r="J18" s="136">
        <f>'Balance Sheet'!I30</f>
        <v>2459</v>
      </c>
      <c r="K18" s="136">
        <f>'Balance Sheet'!J30</f>
        <v>2459</v>
      </c>
      <c r="L18" s="136">
        <f>'Balance Sheet'!K30</f>
        <v>3340</v>
      </c>
      <c r="M18" s="136">
        <f>'Balance Sheet'!L30</f>
        <v>4079.9999999999995</v>
      </c>
      <c r="N18" s="136">
        <f>'Balance Sheet'!M30</f>
        <v>4117</v>
      </c>
      <c r="O18" s="136">
        <f>'Balance Sheet'!N30</f>
        <v>4937.2970072500002</v>
      </c>
      <c r="P18" s="136">
        <f>'Balance Sheet'!O30</f>
        <v>5752.4311082158001</v>
      </c>
      <c r="Q18" s="136">
        <f>'Balance Sheet'!P30</f>
        <v>6592.5647696433207</v>
      </c>
    </row>
    <row r="19" spans="2:17" ht="15" customHeight="1" x14ac:dyDescent="0.3">
      <c r="B19" s="56" t="s">
        <v>157</v>
      </c>
      <c r="C19" s="45" t="s">
        <v>142</v>
      </c>
      <c r="D19" s="138">
        <f>'Balance Sheet'!C29</f>
        <v>3186</v>
      </c>
      <c r="E19" s="138">
        <f>'Balance Sheet'!D29</f>
        <v>3324</v>
      </c>
      <c r="F19" s="138">
        <f>'Balance Sheet'!E29</f>
        <v>4021</v>
      </c>
      <c r="G19" s="138">
        <f>'Balance Sheet'!F29</f>
        <v>1822</v>
      </c>
      <c r="H19" s="138">
        <f>'Balance Sheet'!G29</f>
        <v>1923</v>
      </c>
      <c r="I19" s="138">
        <f>'Balance Sheet'!H29</f>
        <v>1850</v>
      </c>
      <c r="J19" s="138">
        <f>'Balance Sheet'!I29</f>
        <v>2363</v>
      </c>
      <c r="K19" s="138">
        <f>'Balance Sheet'!J29</f>
        <v>2363</v>
      </c>
      <c r="L19" s="138">
        <f>'Balance Sheet'!K29</f>
        <v>3244</v>
      </c>
      <c r="M19" s="138">
        <f>'Balance Sheet'!L29</f>
        <v>3983.9999999999995</v>
      </c>
      <c r="N19" s="138">
        <f>'Balance Sheet'!M29</f>
        <v>4021</v>
      </c>
      <c r="O19" s="138">
        <f>'Balance Sheet'!N29</f>
        <v>4840.8770072500001</v>
      </c>
      <c r="P19" s="138">
        <f>'Balance Sheet'!O29</f>
        <v>5656.0111082158</v>
      </c>
      <c r="Q19" s="138">
        <f>'Balance Sheet'!P29</f>
        <v>6496.1447696433206</v>
      </c>
    </row>
    <row r="20" spans="2:17" ht="15" customHeight="1" x14ac:dyDescent="0.3">
      <c r="B20" s="128" t="s">
        <v>158</v>
      </c>
      <c r="C20" s="129" t="s">
        <v>145</v>
      </c>
      <c r="D20" s="139">
        <f>'Income Statement'!C27/'Balance Sheet'!C30</f>
        <v>0.30499695307739183</v>
      </c>
      <c r="E20" s="139">
        <f>'Income Statement'!D27/'Balance Sheet'!D30</f>
        <v>0.358187134502924</v>
      </c>
      <c r="F20" s="139">
        <f>'Income Statement'!E27/'Balance Sheet'!E30</f>
        <v>0.39033276657760507</v>
      </c>
      <c r="G20" s="139">
        <f>'Income Statement'!F27/'Balance Sheet'!F30</f>
        <v>1.0260688216892597</v>
      </c>
      <c r="H20" s="139">
        <f>'Income Statement'!G27/'Balance Sheet'!G30</f>
        <v>1.0312035661218424</v>
      </c>
      <c r="I20" s="137">
        <f>I10/I18</f>
        <v>1.0883864337101747</v>
      </c>
      <c r="J20" s="139">
        <f>'Income Statement'!I27/'Balance Sheet'!I30</f>
        <v>0.97234648230988208</v>
      </c>
      <c r="K20" s="139">
        <f>'Income Statement'!J27/'Balance Sheet'!J30</f>
        <v>1.2196014640097601</v>
      </c>
      <c r="L20" s="139">
        <f>'Income Statement'!K27/'Balance Sheet'!K30</f>
        <v>1.1775449101796407</v>
      </c>
      <c r="M20" s="139">
        <f>'Income Statement'!L27/'Balance Sheet'!L30</f>
        <v>0.77117647058823524</v>
      </c>
      <c r="N20" s="139">
        <f>'Income Statement'!M27/'Balance Sheet'!M30</f>
        <v>0.80495506436725772</v>
      </c>
      <c r="O20" s="139">
        <f>'Income Statement'!N27/'Balance Sheet'!N30</f>
        <v>0.66423146595886806</v>
      </c>
      <c r="P20" s="139">
        <f>'Income Statement'!O27/'Balance Sheet'!O30</f>
        <v>0.64410245593348925</v>
      </c>
      <c r="Q20" s="139">
        <f>'Income Statement'!P27/'Balance Sheet'!P30</f>
        <v>0.63718271324088649</v>
      </c>
    </row>
    <row r="21" spans="2:17" ht="15" customHeight="1" x14ac:dyDescent="0.3">
      <c r="B21" s="56" t="s">
        <v>159</v>
      </c>
      <c r="C21" s="45" t="s">
        <v>145</v>
      </c>
      <c r="D21" s="140">
        <f>'Income Statement'!C19/'Balance Sheet'!C21</f>
        <v>0.21967694566813509</v>
      </c>
      <c r="E21" s="140">
        <f>'Income Statement'!D19/'Balance Sheet'!D21</f>
        <v>0.23835393182126852</v>
      </c>
      <c r="F21" s="140">
        <f>'Income Statement'!E19/'Balance Sheet'!E21</f>
        <v>0.28214638971315531</v>
      </c>
      <c r="G21" s="140">
        <f>'Income Statement'!F19/'Balance Sheet'!F21</f>
        <v>0.35633626097866999</v>
      </c>
      <c r="H21" s="140">
        <f>'Income Statement'!G19/'Balance Sheet'!G21</f>
        <v>0.35848101265822785</v>
      </c>
      <c r="I21" s="140">
        <f>'Income Statement'!H19/'Balance Sheet'!H21</f>
        <v>0.38511051736701479</v>
      </c>
      <c r="J21" s="140">
        <f>'Income Statement'!I19/'Balance Sheet'!I21</f>
        <v>0.36785833611760776</v>
      </c>
      <c r="K21" s="140">
        <f>'Income Statement'!J19/'Balance Sheet'!J21</f>
        <v>0.45016148791624905</v>
      </c>
      <c r="L21" s="140">
        <f>'Income Statement'!K19/'Balance Sheet'!K21</f>
        <v>0.50128290411479615</v>
      </c>
      <c r="M21" s="140">
        <f>'Income Statement'!L19/'Balance Sheet'!L21</f>
        <v>0.39941744870457763</v>
      </c>
      <c r="N21" s="140">
        <f>'Income Statement'!M19/'Balance Sheet'!M21</f>
        <v>0.34331385913664397</v>
      </c>
      <c r="O21" s="140">
        <f>'Income Statement'!N19/'Balance Sheet'!N21</f>
        <v>0.36921568556621165</v>
      </c>
      <c r="P21" s="140">
        <f>'Income Statement'!O19/'Balance Sheet'!O21</f>
        <v>0.43486777605255</v>
      </c>
      <c r="Q21" s="140">
        <f>'Income Statement'!P19/'Balance Sheet'!P21</f>
        <v>0.51947993023601358</v>
      </c>
    </row>
    <row r="22" spans="2:17" ht="15" customHeight="1" x14ac:dyDescent="0.3">
      <c r="B22" s="128" t="s">
        <v>160</v>
      </c>
      <c r="C22" s="129" t="s">
        <v>161</v>
      </c>
      <c r="D22" s="141">
        <f>'Balance Sheet'!C16/'Income Statement'!C7*365</f>
        <v>37.534186631659558</v>
      </c>
      <c r="E22" s="141">
        <f>'Balance Sheet'!D16/'Income Statement'!D7*365</f>
        <v>32.890109890109891</v>
      </c>
      <c r="F22" s="141">
        <f>'Balance Sheet'!E16/'Income Statement'!E7*365</f>
        <v>31.224760892667376</v>
      </c>
      <c r="G22" s="141">
        <f>'Balance Sheet'!F16/'Income Statement'!F7*365</f>
        <v>37.860376748322423</v>
      </c>
      <c r="H22" s="141">
        <f>'Balance Sheet'!G16/'Income Statement'!G7*365</f>
        <v>38.714606741573036</v>
      </c>
      <c r="I22" s="141">
        <f>'Balance Sheet'!H16/'Income Statement'!H7*365</f>
        <v>39.444067566650837</v>
      </c>
      <c r="J22" s="141">
        <f>'Balance Sheet'!I16/'Income Statement'!I7*365</f>
        <v>41.66923122447772</v>
      </c>
      <c r="K22" s="141">
        <f>'Balance Sheet'!J16/'Income Statement'!J7*365</f>
        <v>36.81297709923664</v>
      </c>
      <c r="L22" s="141">
        <f>'Balance Sheet'!K16/'Income Statement'!K7*365</f>
        <v>31.257071411002705</v>
      </c>
      <c r="M22" s="141">
        <f>'Balance Sheet'!L16/'Income Statement'!L7*365</f>
        <v>36.864999999999995</v>
      </c>
      <c r="N22" s="141">
        <f>'Balance Sheet'!M16/'Income Statement'!M7*365</f>
        <v>51.492426492426489</v>
      </c>
      <c r="O22" s="141">
        <f>'Balance Sheet'!N16/'Income Statement'!N7*365</f>
        <v>52.000000000000007</v>
      </c>
      <c r="P22" s="141">
        <f>'Balance Sheet'!O16/'Income Statement'!O7*365</f>
        <v>50.999999999999993</v>
      </c>
      <c r="Q22" s="141">
        <f>'Balance Sheet'!P16/'Income Statement'!P7*365</f>
        <v>50</v>
      </c>
    </row>
    <row r="23" spans="2:17" ht="15" customHeight="1" x14ac:dyDescent="0.3">
      <c r="B23" s="56" t="s">
        <v>162</v>
      </c>
      <c r="C23" s="45" t="s">
        <v>161</v>
      </c>
      <c r="D23" s="142">
        <f>'Balance Sheet'!C17/'Income Statement'!C7*365</f>
        <v>3.9131386062794005</v>
      </c>
      <c r="E23" s="142">
        <f>'Balance Sheet'!D17/'Income Statement'!D7*365</f>
        <v>3.2452547452547456</v>
      </c>
      <c r="F23" s="142">
        <f>'Balance Sheet'!E17/'Income Statement'!E7*365</f>
        <v>4.0404711300035423</v>
      </c>
      <c r="G23" s="142">
        <f>'Balance Sheet'!F17/'Income Statement'!F7*365</f>
        <v>3.659147869674185</v>
      </c>
      <c r="H23" s="142">
        <f>'Balance Sheet'!G17/'Income Statement'!G7*365</f>
        <v>4.51123595505618</v>
      </c>
      <c r="I23" s="142">
        <f>'Balance Sheet'!H17/'Income Statement'!H7*365</f>
        <v>4.1103045926327928</v>
      </c>
      <c r="J23" s="142">
        <f>'Balance Sheet'!I17/'Income Statement'!I7*365</f>
        <v>4.1474818015032255</v>
      </c>
      <c r="K23" s="142">
        <f>'Balance Sheet'!J17/'Income Statement'!J7*365</f>
        <v>3.66412213740458</v>
      </c>
      <c r="L23" s="142">
        <f>'Balance Sheet'!K17/'Income Statement'!K7*365</f>
        <v>4.4888087234565877</v>
      </c>
      <c r="M23" s="142">
        <f>'Balance Sheet'!L17/'Income Statement'!L7*365</f>
        <v>3.65</v>
      </c>
      <c r="N23" s="142">
        <f>'Balance Sheet'!M17/'Income Statement'!M7*365</f>
        <v>6.558509058509058</v>
      </c>
      <c r="O23" s="142">
        <f>'Balance Sheet'!N17/'Income Statement'!N7*365</f>
        <v>7</v>
      </c>
      <c r="P23" s="142">
        <f>'Balance Sheet'!O17/'Income Statement'!O7*365</f>
        <v>6.9999999999999991</v>
      </c>
      <c r="Q23" s="142">
        <f>'Balance Sheet'!P17/'Income Statement'!P7*365</f>
        <v>7</v>
      </c>
    </row>
    <row r="24" spans="2:17" ht="15" customHeight="1" x14ac:dyDescent="0.3">
      <c r="B24" s="133" t="s">
        <v>163</v>
      </c>
      <c r="C24" s="129" t="s">
        <v>142</v>
      </c>
      <c r="D24" s="143">
        <f>'Balance Sheet'!C43</f>
        <v>0</v>
      </c>
      <c r="E24" s="143">
        <f>'Balance Sheet'!D43</f>
        <v>0</v>
      </c>
      <c r="F24" s="143">
        <f>'Balance Sheet'!E43</f>
        <v>0</v>
      </c>
      <c r="G24" s="143">
        <f>'Balance Sheet'!F43</f>
        <v>0</v>
      </c>
      <c r="H24" s="143">
        <f>'Balance Sheet'!G43</f>
        <v>0</v>
      </c>
      <c r="I24" s="143">
        <f>'Balance Sheet'!H43</f>
        <v>0</v>
      </c>
      <c r="J24" s="143">
        <f>'Balance Sheet'!I43</f>
        <v>0</v>
      </c>
      <c r="K24" s="143">
        <f>'Balance Sheet'!J43</f>
        <v>0</v>
      </c>
      <c r="L24" s="143">
        <f>'Balance Sheet'!K43</f>
        <v>0</v>
      </c>
      <c r="M24" s="143">
        <f>'Balance Sheet'!L43</f>
        <v>0</v>
      </c>
      <c r="N24" s="143">
        <f>'Balance Sheet'!M43</f>
        <v>0</v>
      </c>
      <c r="O24" s="143">
        <f>'Balance Sheet'!N43</f>
        <v>0</v>
      </c>
      <c r="P24" s="143">
        <f>'Balance Sheet'!O43</f>
        <v>0</v>
      </c>
      <c r="Q24" s="143">
        <f>'Balance Sheet'!P43</f>
        <v>0</v>
      </c>
    </row>
    <row r="27" spans="2:17" ht="15.75" customHeight="1" x14ac:dyDescent="0.3">
      <c r="B27" s="50" t="s">
        <v>164</v>
      </c>
      <c r="C27" s="134"/>
      <c r="D27" s="134"/>
      <c r="E27" s="134"/>
      <c r="F27" s="134"/>
      <c r="G27" s="134"/>
      <c r="H27" s="134"/>
      <c r="I27" s="134"/>
      <c r="J27" s="134"/>
      <c r="K27" s="134"/>
      <c r="L27" s="134"/>
      <c r="M27" s="134"/>
      <c r="N27" s="134"/>
      <c r="O27" s="134"/>
      <c r="P27" s="134"/>
      <c r="Q27" s="134"/>
    </row>
    <row r="28" spans="2:17" ht="4.95" customHeight="1" x14ac:dyDescent="0.3"/>
    <row r="29" spans="2:17" ht="15" customHeight="1" x14ac:dyDescent="0.3">
      <c r="B29" s="144">
        <f>'Income Statement'!N27</f>
        <v>3279.5080289999996</v>
      </c>
      <c r="C29" s="145">
        <v>0.19500000000000001</v>
      </c>
      <c r="D29" s="145">
        <v>0.20499999999999999</v>
      </c>
      <c r="E29" s="145">
        <v>0.215</v>
      </c>
      <c r="F29" s="145">
        <v>0.22500000000000001</v>
      </c>
      <c r="G29" s="145">
        <v>0.23499999999999999</v>
      </c>
      <c r="I29" s="149" t="s">
        <v>215</v>
      </c>
      <c r="J29" s="150"/>
      <c r="K29" s="150"/>
    </row>
    <row r="30" spans="2:17" ht="15" customHeight="1" x14ac:dyDescent="0.3">
      <c r="B30" s="146">
        <v>0.06</v>
      </c>
      <c r="C30" s="147">
        <f t="dataTable" ref="C30:G34" dt2D="1" dtr="1" r1="K30" r2="K31"/>
        <v>2827.3913094000004</v>
      </c>
      <c r="D30" s="147">
        <v>2986.9265034000005</v>
      </c>
      <c r="E30" s="147">
        <v>3146.4616974000005</v>
      </c>
      <c r="F30" s="147">
        <v>3305.9968914000005</v>
      </c>
      <c r="G30" s="147">
        <v>3465.5320854000001</v>
      </c>
      <c r="I30" s="151" t="s">
        <v>216</v>
      </c>
      <c r="J30" s="151"/>
      <c r="K30" s="187">
        <f>Assumptions!C21</f>
        <v>0.215</v>
      </c>
    </row>
    <row r="31" spans="2:17" ht="15" customHeight="1" x14ac:dyDescent="0.3">
      <c r="B31" s="146">
        <v>0.08</v>
      </c>
      <c r="C31" s="147">
        <v>2887.8942791999998</v>
      </c>
      <c r="D31" s="147">
        <v>3050.4395711999996</v>
      </c>
      <c r="E31" s="147">
        <v>3212.9848631999994</v>
      </c>
      <c r="F31" s="147">
        <v>3375.5301551999996</v>
      </c>
      <c r="G31" s="147">
        <v>3538.0754471999999</v>
      </c>
      <c r="I31" s="151" t="s">
        <v>217</v>
      </c>
      <c r="J31" s="151"/>
      <c r="K31" s="188">
        <f>Assumptions!C7</f>
        <v>0.1</v>
      </c>
    </row>
    <row r="32" spans="2:17" ht="15" customHeight="1" x14ac:dyDescent="0.3">
      <c r="B32" s="146">
        <v>0.1</v>
      </c>
      <c r="C32" s="147">
        <v>2948.3972490000006</v>
      </c>
      <c r="D32" s="147">
        <v>3113.9526390000001</v>
      </c>
      <c r="E32" s="148">
        <v>3279.5080289999996</v>
      </c>
      <c r="F32" s="147">
        <v>3445.0634189999996</v>
      </c>
      <c r="G32" s="147">
        <v>3610.6188089999996</v>
      </c>
    </row>
    <row r="33" spans="2:7" ht="15" customHeight="1" x14ac:dyDescent="0.3">
      <c r="B33" s="146">
        <v>0.12</v>
      </c>
      <c r="C33" s="147">
        <v>3008.9002188000009</v>
      </c>
      <c r="D33" s="147">
        <v>3177.4657068000001</v>
      </c>
      <c r="E33" s="147">
        <v>3346.0311947999999</v>
      </c>
      <c r="F33" s="147">
        <v>3514.5966828000001</v>
      </c>
      <c r="G33" s="147">
        <v>3683.1621708000002</v>
      </c>
    </row>
    <row r="34" spans="2:7" ht="15" customHeight="1" x14ac:dyDescent="0.3">
      <c r="B34" s="146">
        <v>0.14000000000000001</v>
      </c>
      <c r="C34" s="147">
        <v>3069.4031886000002</v>
      </c>
      <c r="D34" s="147">
        <v>3240.9787745999997</v>
      </c>
      <c r="E34" s="147">
        <v>3412.5543606000001</v>
      </c>
      <c r="F34" s="147">
        <v>3584.1299466</v>
      </c>
      <c r="G34" s="147">
        <v>3755.7055326</v>
      </c>
    </row>
    <row r="35" spans="2:7" ht="15" customHeight="1" x14ac:dyDescent="0.3">
      <c r="B35"/>
      <c r="C35" s="153"/>
      <c r="D35" s="153"/>
      <c r="E35" s="153"/>
      <c r="F35" s="153"/>
      <c r="G35" s="153"/>
    </row>
    <row r="36" spans="2:7" s="152" customFormat="1" ht="15" customHeight="1" thickBot="1" x14ac:dyDescent="0.35"/>
  </sheetData>
  <sheetProtection algorithmName="SHA-512" hashValue="UFiF6NFsFo0qkn22/QbAAhc1avR+2DEcTvho40fMkgrwa96h0KcprCzgHjGgw7OMSYgnXvG4ux3tzH+s4e68mg==" saltValue="8CInaxQO1V740iTxYgVBcg==" spinCount="100000" sheet="1" objects="1" scenarios="1"/>
  <mergeCells count="1">
    <mergeCell ref="B1:Q1"/>
  </mergeCells>
  <pageMargins left="0.75" right="0.75" top="1" bottom="1" header="0.511811023622047" footer="0.511811023622047"/>
  <pageSetup paperSize="9" scale="65" fitToHeight="0" orientation="landscape" horizontalDpi="300" verticalDpi="300" r:id="rId1"/>
  <rowBreaks count="1" manualBreakCount="1">
    <brk id="36" max="16" man="1"/>
  </rowBreaks>
  <ignoredErrors>
    <ignoredError sqref="K30:K31" unlockedFormula="1"/>
  </ignoredErrors>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COVER</vt:lpstr>
      <vt:lpstr>Assumptions</vt:lpstr>
      <vt:lpstr>Income Statement</vt:lpstr>
      <vt:lpstr>Schedules</vt:lpstr>
      <vt:lpstr>Balance Sheet</vt:lpstr>
      <vt:lpstr>Cash Flow</vt:lpstr>
      <vt:lpstr>Dashboard</vt:lpstr>
      <vt:lpstr>Assumptions!Print_Area</vt:lpstr>
      <vt:lpstr>'Cash Flow'!Print_Area</vt:lpstr>
      <vt:lpstr>Dashboard!Print_Area</vt:lpstr>
      <vt:lpstr>'Income Statement'!Print_Area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dc:description/>
  <cp:lastModifiedBy>Anvay Gulwe</cp:lastModifiedBy>
  <cp:revision>4</cp:revision>
  <cp:lastPrinted>2026-04-25T15:08:31Z</cp:lastPrinted>
  <dcterms:created xsi:type="dcterms:W3CDTF">2026-04-21T04:10:41Z</dcterms:created>
  <dcterms:modified xsi:type="dcterms:W3CDTF">2026-05-05T06:13:10Z</dcterms:modified>
  <dc:language>en-US</dc:language>
</cp:coreProperties>
</file>