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vay\Downloads\"/>
    </mc:Choice>
  </mc:AlternateContent>
  <xr:revisionPtr revIDLastSave="0" documentId="13_ncr:1_{9A27F14B-2E1C-42B8-B34B-417D4A797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 " sheetId="8" r:id="rId1"/>
    <sheet name="FORECAST" sheetId="7" r:id="rId2"/>
  </sheets>
  <definedNames>
    <definedName name="UPDATE">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7" l="1"/>
  <c r="E3" i="7"/>
  <c r="F3" i="7" s="1"/>
  <c r="G3" i="7" s="1"/>
  <c r="H3" i="7" s="1"/>
  <c r="I3" i="7" s="1"/>
  <c r="J3" i="7" s="1"/>
  <c r="K3" i="7" s="1"/>
  <c r="L3" i="7" s="1"/>
  <c r="D3" i="7"/>
  <c r="I68" i="7"/>
  <c r="J68" i="7"/>
  <c r="K68" i="7"/>
  <c r="L68" i="7"/>
  <c r="G106" i="7" l="1"/>
  <c r="F106" i="7"/>
  <c r="E106" i="7"/>
  <c r="D106" i="7"/>
  <c r="L105" i="7"/>
  <c r="K105" i="7"/>
  <c r="J105" i="7"/>
  <c r="I105" i="7"/>
  <c r="H105" i="7"/>
  <c r="G105" i="7"/>
  <c r="F105" i="7"/>
  <c r="E105" i="7"/>
  <c r="D105" i="7"/>
  <c r="G104" i="7"/>
  <c r="F104" i="7"/>
  <c r="E104" i="7"/>
  <c r="D104" i="7"/>
  <c r="C106" i="7"/>
  <c r="C105" i="7"/>
  <c r="C104" i="7"/>
  <c r="L102" i="7"/>
  <c r="K102" i="7"/>
  <c r="J102" i="7"/>
  <c r="I102" i="7"/>
  <c r="H102" i="7"/>
  <c r="G102" i="7"/>
  <c r="F102" i="7"/>
  <c r="E102" i="7"/>
  <c r="D102" i="7"/>
  <c r="L101" i="7"/>
  <c r="K101" i="7"/>
  <c r="J101" i="7"/>
  <c r="I101" i="7"/>
  <c r="H101" i="7"/>
  <c r="G101" i="7"/>
  <c r="F101" i="7"/>
  <c r="E101" i="7"/>
  <c r="D101" i="7"/>
  <c r="C102" i="7"/>
  <c r="C101" i="7"/>
  <c r="F63" i="7" l="1"/>
  <c r="I80" i="7"/>
  <c r="H80" i="7"/>
  <c r="C26" i="7"/>
  <c r="H42" i="7"/>
  <c r="I42" i="7"/>
  <c r="J42" i="7" s="1"/>
  <c r="K42" i="7" s="1"/>
  <c r="L42" i="7" s="1"/>
  <c r="L70" i="7"/>
  <c r="K70" i="7"/>
  <c r="J70" i="7"/>
  <c r="I70" i="7"/>
  <c r="H70" i="7"/>
  <c r="H91" i="7" l="1"/>
  <c r="I91" i="7" s="1"/>
  <c r="J91" i="7" s="1"/>
  <c r="K91" i="7" s="1"/>
  <c r="L91" i="7" s="1"/>
  <c r="H94" i="7"/>
  <c r="I94" i="7" s="1"/>
  <c r="J94" i="7" s="1"/>
  <c r="K94" i="7" s="1"/>
  <c r="L94" i="7" s="1"/>
  <c r="H95" i="7"/>
  <c r="I95" i="7" s="1"/>
  <c r="J95" i="7" s="1"/>
  <c r="K95" i="7" s="1"/>
  <c r="L95" i="7" s="1"/>
  <c r="H83" i="7"/>
  <c r="H82" i="7"/>
  <c r="I82" i="7" s="1"/>
  <c r="J82" i="7" s="1"/>
  <c r="K82" i="7" s="1"/>
  <c r="L82" i="7" s="1"/>
  <c r="H81" i="7"/>
  <c r="I81" i="7" s="1"/>
  <c r="J81" i="7" s="1"/>
  <c r="K81" i="7" s="1"/>
  <c r="L81" i="7" s="1"/>
  <c r="H79" i="7"/>
  <c r="H68" i="7"/>
  <c r="H69" i="7"/>
  <c r="I69" i="7" s="1"/>
  <c r="J69" i="7" s="1"/>
  <c r="K69" i="7" s="1"/>
  <c r="L69" i="7" s="1"/>
  <c r="H50" i="7"/>
  <c r="I50" i="7" s="1"/>
  <c r="J50" i="7" s="1"/>
  <c r="K50" i="7" s="1"/>
  <c r="L50" i="7" s="1"/>
  <c r="G63" i="7" l="1"/>
  <c r="G74" i="7"/>
  <c r="H78" i="7"/>
  <c r="I79" i="7"/>
  <c r="I83" i="7"/>
  <c r="J83" i="7" s="1"/>
  <c r="K83" i="7" s="1"/>
  <c r="L83" i="7" s="1"/>
  <c r="H84" i="7"/>
  <c r="I84" i="7" s="1"/>
  <c r="J84" i="7" s="1"/>
  <c r="K84" i="7" s="1"/>
  <c r="L84" i="7" s="1"/>
  <c r="E63" i="7"/>
  <c r="D63" i="7"/>
  <c r="C63" i="7"/>
  <c r="K76" i="7"/>
  <c r="K77" i="7" s="1"/>
  <c r="L76" i="7"/>
  <c r="L77" i="7" s="1"/>
  <c r="H76" i="7"/>
  <c r="H77" i="7" s="1"/>
  <c r="I76" i="7"/>
  <c r="I77" i="7" s="1"/>
  <c r="J76" i="7"/>
  <c r="J77" i="7" s="1"/>
  <c r="G53" i="7"/>
  <c r="G15" i="7"/>
  <c r="C41" i="7"/>
  <c r="C53" i="7"/>
  <c r="C15" i="7"/>
  <c r="E15" i="7"/>
  <c r="F15" i="7"/>
  <c r="D15" i="7"/>
  <c r="G41" i="7"/>
  <c r="E74" i="7"/>
  <c r="F74" i="7"/>
  <c r="E86" i="7"/>
  <c r="C47" i="7"/>
  <c r="F53" i="7"/>
  <c r="C74" i="7"/>
  <c r="D74" i="7"/>
  <c r="C86" i="7"/>
  <c r="E47" i="7"/>
  <c r="D47" i="7"/>
  <c r="G47" i="7"/>
  <c r="F47" i="7"/>
  <c r="G86" i="7"/>
  <c r="F41" i="7"/>
  <c r="F86" i="7"/>
  <c r="E53" i="7"/>
  <c r="E41" i="7"/>
  <c r="D53" i="7"/>
  <c r="D41" i="7"/>
  <c r="D86" i="7"/>
  <c r="G97" i="7" l="1"/>
  <c r="J79" i="7"/>
  <c r="I78" i="7"/>
  <c r="J80" i="7"/>
  <c r="C58" i="7"/>
  <c r="C59" i="7" s="1"/>
  <c r="G58" i="7"/>
  <c r="G59" i="7" s="1"/>
  <c r="D97" i="7"/>
  <c r="C97" i="7"/>
  <c r="F97" i="7"/>
  <c r="F58" i="7"/>
  <c r="F59" i="7" s="1"/>
  <c r="E97" i="7"/>
  <c r="D58" i="7"/>
  <c r="D59" i="7" s="1"/>
  <c r="E58" i="7"/>
  <c r="E59" i="7" s="1"/>
  <c r="D10" i="7"/>
  <c r="E10" i="7"/>
  <c r="F10" i="7"/>
  <c r="G10" i="7"/>
  <c r="D11" i="7"/>
  <c r="E11" i="7"/>
  <c r="F11" i="7"/>
  <c r="G11" i="7"/>
  <c r="C11" i="7"/>
  <c r="C10" i="7"/>
  <c r="G19" i="7" l="1"/>
  <c r="G20" i="7"/>
  <c r="C19" i="7"/>
  <c r="C20" i="7"/>
  <c r="F19" i="7"/>
  <c r="F20" i="7"/>
  <c r="D19" i="7"/>
  <c r="D20" i="7"/>
  <c r="E19" i="7"/>
  <c r="E20" i="7"/>
  <c r="K80" i="7"/>
  <c r="L80" i="7" s="1"/>
  <c r="G8" i="7"/>
  <c r="K79" i="7"/>
  <c r="J78" i="7"/>
  <c r="D17" i="7"/>
  <c r="D16" i="7"/>
  <c r="D18" i="7"/>
  <c r="E17" i="7"/>
  <c r="E18" i="7"/>
  <c r="E16" i="7"/>
  <c r="C16" i="7"/>
  <c r="C18" i="7"/>
  <c r="C17" i="7"/>
  <c r="F18" i="7"/>
  <c r="F16" i="7"/>
  <c r="F17" i="7"/>
  <c r="G18" i="7"/>
  <c r="G16" i="7"/>
  <c r="G17" i="7"/>
  <c r="C9" i="7"/>
  <c r="E13" i="7"/>
  <c r="E14" i="7"/>
  <c r="G14" i="7"/>
  <c r="C13" i="7"/>
  <c r="C14" i="7"/>
  <c r="D13" i="7"/>
  <c r="D14" i="7"/>
  <c r="F13" i="7"/>
  <c r="F14" i="7"/>
  <c r="G9" i="7"/>
  <c r="H24" i="7"/>
  <c r="G13" i="7"/>
  <c r="F9" i="7"/>
  <c r="D9" i="7"/>
  <c r="E9" i="7"/>
  <c r="C8" i="7"/>
  <c r="F8" i="7"/>
  <c r="E8" i="7"/>
  <c r="D8" i="7"/>
  <c r="G7" i="7"/>
  <c r="D7" i="7"/>
  <c r="E7" i="7"/>
  <c r="F7" i="7"/>
  <c r="D26" i="7"/>
  <c r="D29" i="7" s="1"/>
  <c r="D32" i="7" s="1"/>
  <c r="D35" i="7" s="1"/>
  <c r="D37" i="7" s="1"/>
  <c r="E26" i="7"/>
  <c r="E29" i="7" s="1"/>
  <c r="E32" i="7" s="1"/>
  <c r="E35" i="7" s="1"/>
  <c r="E37" i="7" s="1"/>
  <c r="G26" i="7"/>
  <c r="G29" i="7" s="1"/>
  <c r="G32" i="7" s="1"/>
  <c r="F26" i="7"/>
  <c r="F29" i="7" s="1"/>
  <c r="F32" i="7" s="1"/>
  <c r="F35" i="7" s="1"/>
  <c r="F37" i="7" s="1"/>
  <c r="C29" i="7"/>
  <c r="C32" i="7" s="1"/>
  <c r="C35" i="7" s="1"/>
  <c r="C37" i="7" s="1"/>
  <c r="H93" i="7" l="1"/>
  <c r="H45" i="7"/>
  <c r="H56" i="7"/>
  <c r="H75" i="7"/>
  <c r="L79" i="7"/>
  <c r="L78" i="7" s="1"/>
  <c r="K78" i="7"/>
  <c r="H54" i="7"/>
  <c r="H65" i="7" s="1"/>
  <c r="H51" i="7"/>
  <c r="H55" i="7"/>
  <c r="H66" i="7" s="1"/>
  <c r="G35" i="7"/>
  <c r="G12" i="7" s="1"/>
  <c r="H67" i="7"/>
  <c r="H25" i="7"/>
  <c r="H26" i="7" s="1"/>
  <c r="H28" i="7"/>
  <c r="I24" i="7"/>
  <c r="C12" i="7"/>
  <c r="D12" i="7"/>
  <c r="F12" i="7"/>
  <c r="E12" i="7"/>
  <c r="H74" i="7" l="1"/>
  <c r="I56" i="7"/>
  <c r="I93" i="7"/>
  <c r="H71" i="7"/>
  <c r="I55" i="7"/>
  <c r="I66" i="7" s="1"/>
  <c r="I54" i="7"/>
  <c r="I65" i="7" s="1"/>
  <c r="I51" i="7"/>
  <c r="G37" i="7"/>
  <c r="H29" i="7"/>
  <c r="H64" i="7" s="1"/>
  <c r="H31" i="7"/>
  <c r="H48" i="7" s="1"/>
  <c r="I75" i="7"/>
  <c r="I45" i="7"/>
  <c r="I67" i="7" s="1"/>
  <c r="I25" i="7"/>
  <c r="I26" i="7" s="1"/>
  <c r="J24" i="7"/>
  <c r="J25" i="7"/>
  <c r="J26" i="7" s="1"/>
  <c r="I71" i="7" l="1"/>
  <c r="J56" i="7"/>
  <c r="J93" i="7"/>
  <c r="I31" i="7"/>
  <c r="I48" i="7" s="1"/>
  <c r="I74" i="7"/>
  <c r="H49" i="7"/>
  <c r="H47" i="7" s="1"/>
  <c r="J28" i="7"/>
  <c r="J29" i="7" s="1"/>
  <c r="J64" i="7" s="1"/>
  <c r="J51" i="7"/>
  <c r="J55" i="7"/>
  <c r="J66" i="7" s="1"/>
  <c r="J54" i="7"/>
  <c r="J65" i="7" s="1"/>
  <c r="J75" i="7"/>
  <c r="J45" i="7"/>
  <c r="J67" i="7" s="1"/>
  <c r="K24" i="7"/>
  <c r="I29" i="7"/>
  <c r="H32" i="7"/>
  <c r="K56" i="7" l="1"/>
  <c r="K93" i="7"/>
  <c r="J71" i="7"/>
  <c r="J31" i="7"/>
  <c r="J32" i="7" s="1"/>
  <c r="J74" i="7"/>
  <c r="I32" i="7"/>
  <c r="I64" i="7"/>
  <c r="K54" i="7"/>
  <c r="K65" i="7" s="1"/>
  <c r="K55" i="7"/>
  <c r="K66" i="7" s="1"/>
  <c r="K51" i="7"/>
  <c r="I49" i="7"/>
  <c r="I47" i="7" s="1"/>
  <c r="J48" i="7"/>
  <c r="K75" i="7"/>
  <c r="K45" i="7"/>
  <c r="K67" i="7" s="1"/>
  <c r="K25" i="7"/>
  <c r="K26" i="7" s="1"/>
  <c r="K28" i="7"/>
  <c r="L24" i="7"/>
  <c r="L56" i="7" l="1"/>
  <c r="L93" i="7"/>
  <c r="K71" i="7"/>
  <c r="K31" i="7"/>
  <c r="K48" i="7" s="1"/>
  <c r="K74" i="7"/>
  <c r="L25" i="7"/>
  <c r="L26" i="7" s="1"/>
  <c r="L54" i="7"/>
  <c r="L65" i="7" s="1"/>
  <c r="L55" i="7"/>
  <c r="L66" i="7" s="1"/>
  <c r="L51" i="7"/>
  <c r="J49" i="7"/>
  <c r="J47" i="7" s="1"/>
  <c r="L75" i="7"/>
  <c r="L45" i="7"/>
  <c r="L67" i="7" s="1"/>
  <c r="L28" i="7"/>
  <c r="K29" i="7"/>
  <c r="K32" i="7" l="1"/>
  <c r="K64" i="7"/>
  <c r="L71" i="7"/>
  <c r="L31" i="7"/>
  <c r="L48" i="7" s="1"/>
  <c r="L74" i="7"/>
  <c r="L53" i="7"/>
  <c r="L29" i="7"/>
  <c r="K49" i="7"/>
  <c r="K47" i="7" s="1"/>
  <c r="L32" i="7" l="1"/>
  <c r="L64" i="7"/>
  <c r="L49" i="7"/>
  <c r="L47" i="7" s="1"/>
  <c r="L58" i="7" s="1"/>
  <c r="K53" i="7"/>
  <c r="K58" i="7" s="1"/>
  <c r="J53" i="7"/>
  <c r="J58" i="7" s="1"/>
  <c r="I53" i="7"/>
  <c r="I58" i="7" s="1"/>
  <c r="H53" i="7"/>
  <c r="H58" i="7" s="1"/>
  <c r="H34" i="7"/>
  <c r="I34" i="7"/>
  <c r="J34" i="7"/>
  <c r="K34" i="7"/>
  <c r="L34" i="7"/>
  <c r="H35" i="7"/>
  <c r="I35" i="7"/>
  <c r="J35" i="7"/>
  <c r="K35" i="7"/>
  <c r="L35" i="7"/>
  <c r="H36" i="7"/>
  <c r="I36" i="7"/>
  <c r="J36" i="7"/>
  <c r="K36" i="7"/>
  <c r="L36" i="7"/>
  <c r="H37" i="7"/>
  <c r="I37" i="7"/>
  <c r="J37" i="7"/>
  <c r="K37" i="7"/>
  <c r="L37" i="7"/>
  <c r="H41" i="7"/>
  <c r="I41" i="7"/>
  <c r="J41" i="7"/>
  <c r="K41" i="7"/>
  <c r="L41" i="7"/>
  <c r="H43" i="7"/>
  <c r="I43" i="7"/>
  <c r="J43" i="7"/>
  <c r="K43" i="7"/>
  <c r="L43" i="7"/>
  <c r="H44" i="7"/>
  <c r="I44" i="7"/>
  <c r="J44" i="7"/>
  <c r="K44" i="7"/>
  <c r="L44" i="7"/>
  <c r="N44" i="7"/>
  <c r="O44" i="7"/>
  <c r="P44" i="7"/>
  <c r="Q44" i="7"/>
  <c r="R44" i="7"/>
  <c r="H59" i="7"/>
  <c r="I59" i="7"/>
  <c r="J59" i="7"/>
  <c r="K59" i="7"/>
  <c r="L59" i="7"/>
  <c r="H63" i="7"/>
  <c r="I63" i="7"/>
  <c r="J63" i="7"/>
  <c r="K63" i="7"/>
  <c r="L63" i="7"/>
  <c r="H72" i="7"/>
  <c r="I72" i="7"/>
  <c r="J72" i="7"/>
  <c r="K72" i="7"/>
  <c r="L72" i="7"/>
  <c r="H86" i="7"/>
  <c r="I86" i="7"/>
  <c r="J86" i="7"/>
  <c r="K86" i="7"/>
  <c r="L86" i="7"/>
  <c r="H92" i="7"/>
  <c r="I92" i="7"/>
  <c r="J92" i="7"/>
  <c r="K92" i="7"/>
  <c r="L92" i="7"/>
  <c r="H97" i="7"/>
  <c r="I97" i="7"/>
  <c r="J97" i="7"/>
  <c r="K97" i="7"/>
  <c r="L97" i="7"/>
  <c r="H104" i="7"/>
  <c r="I104" i="7"/>
  <c r="J104" i="7"/>
  <c r="K104" i="7"/>
  <c r="L104" i="7"/>
  <c r="H106" i="7"/>
  <c r="I106" i="7"/>
  <c r="J106" i="7"/>
  <c r="K106" i="7"/>
  <c r="L10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H34" authorId="0" shapeId="0" xr:uid="{6686CCF9-E1B1-47A3-B324-773888B11E20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Average Debt*9.8%</t>
        </r>
      </text>
    </comment>
  </commentList>
</comments>
</file>

<file path=xl/sharedStrings.xml><?xml version="1.0" encoding="utf-8"?>
<sst xmlns="http://schemas.openxmlformats.org/spreadsheetml/2006/main" count="109" uniqueCount="103">
  <si>
    <t>Depreciation</t>
  </si>
  <si>
    <t>Interest</t>
  </si>
  <si>
    <t>Tax</t>
  </si>
  <si>
    <t>Net Block</t>
  </si>
  <si>
    <t>Capital Work in Progress</t>
  </si>
  <si>
    <t>Net Cash Flow</t>
  </si>
  <si>
    <t>Inventory</t>
  </si>
  <si>
    <t>AVENUE SUPERMARTS LTD</t>
  </si>
  <si>
    <t>Other Assets</t>
  </si>
  <si>
    <t>Receivables</t>
  </si>
  <si>
    <t>Cash &amp; Bank</t>
  </si>
  <si>
    <t>Gross Profit</t>
  </si>
  <si>
    <t>Selling &amp; Adm Expenses</t>
  </si>
  <si>
    <t>EBITDA</t>
  </si>
  <si>
    <t xml:space="preserve">EBIT (Operating Profit) </t>
  </si>
  <si>
    <t>EBT</t>
  </si>
  <si>
    <t>Net Profit</t>
  </si>
  <si>
    <t>COGS</t>
  </si>
  <si>
    <t>Forecast Period</t>
  </si>
  <si>
    <t>Income Statement</t>
  </si>
  <si>
    <t>Balance Sheet</t>
  </si>
  <si>
    <t>Equity Capital</t>
  </si>
  <si>
    <t>Reserve</t>
  </si>
  <si>
    <t>Borrowing</t>
  </si>
  <si>
    <t>Other Laibilities</t>
  </si>
  <si>
    <t>Total Labilities</t>
  </si>
  <si>
    <t>Investetment</t>
  </si>
  <si>
    <t>Total Non Current Assests</t>
  </si>
  <si>
    <t>Total Non Current Assets</t>
  </si>
  <si>
    <t>Total Assets</t>
  </si>
  <si>
    <t>Check</t>
  </si>
  <si>
    <t>Cash Flow Statement</t>
  </si>
  <si>
    <t>Profit from operations</t>
  </si>
  <si>
    <t>Payables</t>
  </si>
  <si>
    <t>Loans Advances</t>
  </si>
  <si>
    <t>Operating investments</t>
  </si>
  <si>
    <t>Other WC items</t>
  </si>
  <si>
    <t>Working capital changes</t>
  </si>
  <si>
    <t>Direct taxes</t>
  </si>
  <si>
    <t>Fixed assets purchased</t>
  </si>
  <si>
    <t>Fixed assets sold</t>
  </si>
  <si>
    <t>Investments purchased</t>
  </si>
  <si>
    <t>Investments sold</t>
  </si>
  <si>
    <t>Investment income</t>
  </si>
  <si>
    <t>Interest received</t>
  </si>
  <si>
    <t>Dividends received</t>
  </si>
  <si>
    <t>Investment in group cos</t>
  </si>
  <si>
    <t>Redemp n Canc of Shares</t>
  </si>
  <si>
    <t>Other investing items</t>
  </si>
  <si>
    <t>Proceeds from shares</t>
  </si>
  <si>
    <t>Proceeds from debentures</t>
  </si>
  <si>
    <t>Redemption of debentures</t>
  </si>
  <si>
    <t>Proceeds from borrowings</t>
  </si>
  <si>
    <t>Repayment of borrowings</t>
  </si>
  <si>
    <t>Interest paid fin</t>
  </si>
  <si>
    <t>Financial liabilities</t>
  </si>
  <si>
    <t>Application money refund</t>
  </si>
  <si>
    <t>Other financing items</t>
  </si>
  <si>
    <t>Operating Activity</t>
  </si>
  <si>
    <t>Financing Activities</t>
  </si>
  <si>
    <t>Investing Activities</t>
  </si>
  <si>
    <t>Historical Result</t>
  </si>
  <si>
    <t>Key Assumptions</t>
  </si>
  <si>
    <t>Reveue Growth (%)</t>
  </si>
  <si>
    <t>COGS (% of Revenue)</t>
  </si>
  <si>
    <t>Depreciation (% of PPE)</t>
  </si>
  <si>
    <t>Interest (% of Debt)</t>
  </si>
  <si>
    <t>Tax (% of Earning Before Tax)</t>
  </si>
  <si>
    <t>Average Debt</t>
  </si>
  <si>
    <t>CWIP (% of Net Block)</t>
  </si>
  <si>
    <t>Charts and Graphs</t>
  </si>
  <si>
    <t>Revenue</t>
  </si>
  <si>
    <t>Gross Profit Margin (%)</t>
  </si>
  <si>
    <t>Operating Cash Flow</t>
  </si>
  <si>
    <t>Investing Cash Flow</t>
  </si>
  <si>
    <t>Financing Cash Flow</t>
  </si>
  <si>
    <t>AVENUE SUPERMARTS LTD - FORECAST</t>
  </si>
  <si>
    <t>CapEx (% of Revenue)</t>
  </si>
  <si>
    <t>Other Laibilities (% of Revenue)</t>
  </si>
  <si>
    <t xml:space="preserve">Other Assets (% of Revenue) </t>
  </si>
  <si>
    <t>Receivables (% of Revenue)</t>
  </si>
  <si>
    <t>Inventory (% of Revenue)</t>
  </si>
  <si>
    <t>Cash &amp; Bank ( % of Revenue)</t>
  </si>
  <si>
    <t>Fin liabilities (% of Revenue)</t>
  </si>
  <si>
    <t xml:space="preserve">Avenue Supermarts (DMart) - Financial Model &amp; Forecast (FY26-FY30)    </t>
  </si>
  <si>
    <t>Model Purpose  % Scope</t>
  </si>
  <si>
    <t>Intergrated 3 statement financial forecast based on historical trend and key assumptions</t>
  </si>
  <si>
    <r>
      <t xml:space="preserve">Sales Growth: </t>
    </r>
    <r>
      <rPr>
        <sz val="11"/>
        <color theme="1"/>
        <rFont val="Calibri"/>
        <family val="2"/>
        <scheme val="minor"/>
      </rPr>
      <t>21% Constant</t>
    </r>
  </si>
  <si>
    <r>
      <rPr>
        <b/>
        <sz val="11"/>
        <color theme="1"/>
        <rFont val="Calibri"/>
        <family val="2"/>
        <scheme val="minor"/>
      </rPr>
      <t>CapEx:</t>
    </r>
    <r>
      <rPr>
        <sz val="11"/>
        <color theme="1"/>
        <rFont val="Calibri"/>
        <family val="2"/>
        <scheme val="minor"/>
      </rPr>
      <t xml:space="preserve"> 5.8% of Sales (Median)</t>
    </r>
  </si>
  <si>
    <r>
      <rPr>
        <b/>
        <sz val="11"/>
        <color theme="1"/>
        <rFont val="Calibri"/>
        <family val="2"/>
        <scheme val="minor"/>
      </rPr>
      <t>Lease Laibilities (IND AS 116):</t>
    </r>
    <r>
      <rPr>
        <sz val="11"/>
        <color theme="1"/>
        <rFont val="Calibri"/>
        <family val="2"/>
        <scheme val="minor"/>
      </rPr>
      <t xml:space="preserve"> Included in Borrowings</t>
    </r>
  </si>
  <si>
    <r>
      <rPr>
        <b/>
        <sz val="11"/>
        <color theme="1"/>
        <rFont val="Calibri"/>
        <family val="2"/>
        <scheme val="minor"/>
      </rPr>
      <t>Tax Rate:</t>
    </r>
    <r>
      <rPr>
        <sz val="11"/>
        <color theme="1"/>
        <rFont val="Calibri"/>
        <family val="2"/>
        <scheme val="minor"/>
      </rPr>
      <t xml:space="preserve"> 25%</t>
    </r>
  </si>
  <si>
    <t>Cover Page</t>
  </si>
  <si>
    <t>Assumptions &amp; Drivers</t>
  </si>
  <si>
    <t>Income Statement (IS)</t>
  </si>
  <si>
    <t>Balance Sheet (B/S)</t>
  </si>
  <si>
    <t xml:space="preserve">Chart and Graphs </t>
  </si>
  <si>
    <t>Cash Flow Statement (CFS)</t>
  </si>
  <si>
    <t xml:space="preserve">Model Structure </t>
  </si>
  <si>
    <r>
      <rPr>
        <b/>
        <sz val="11"/>
        <color theme="1"/>
        <rFont val="Calibri"/>
        <family val="2"/>
        <scheme val="minor"/>
      </rPr>
      <t>Prepared By:</t>
    </r>
    <r>
      <rPr>
        <sz val="11"/>
        <color theme="1"/>
        <rFont val="Calibri"/>
        <family val="2"/>
        <scheme val="minor"/>
      </rPr>
      <t xml:space="preserve"> Anvay Gulave</t>
    </r>
  </si>
  <si>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Jan 2026</t>
    </r>
  </si>
  <si>
    <t>Disclaimer</t>
  </si>
  <si>
    <t>For educational purpose only. Based on Public Data.</t>
  </si>
  <si>
    <t>Not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</si>
</sst>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\₹\ #,##0_);\(\₹\ #,##0\)"/>
    <numFmt numFmtId="165" formatCode="0.0%"/>
    <numFmt numFmtId="166" formatCode="\₹\ #,##0_);\(\₹\ #,##0\);&quot;–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B6F3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B6F3A"/>
        <bgColor indexed="64"/>
      </patternFill>
    </fill>
    <fill>
      <patternFill patternType="solid">
        <fgColor rgb="FFF7E1B5"/>
        <bgColor indexed="64"/>
      </patternFill>
    </fill>
    <fill>
      <patternFill patternType="solid">
        <fgColor rgb="FFD1FF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855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3" tint="0.39994506668294322"/>
      </top>
      <bottom style="medium">
        <color theme="3" tint="0.39994506668294322"/>
      </bottom>
      <diagonal/>
    </border>
    <border>
      <left style="thick">
        <color rgb="FF018554"/>
      </left>
      <right/>
      <top style="thick">
        <color rgb="FF018554"/>
      </top>
      <bottom style="thick">
        <color rgb="FF018554"/>
      </bottom>
      <diagonal/>
    </border>
    <border>
      <left/>
      <right style="thick">
        <color rgb="FF018554"/>
      </right>
      <top style="thick">
        <color rgb="FF018554"/>
      </top>
      <bottom style="thick">
        <color rgb="FF018554"/>
      </bottom>
      <diagonal/>
    </border>
    <border>
      <left/>
      <right/>
      <top style="thick">
        <color rgb="FF018554"/>
      </top>
      <bottom style="thick">
        <color rgb="FF018554"/>
      </bottom>
      <diagonal/>
    </border>
    <border>
      <left style="medium">
        <color rgb="FF0B6F3A"/>
      </left>
      <right/>
      <top style="medium">
        <color rgb="FF0B6F3A"/>
      </top>
      <bottom/>
      <diagonal/>
    </border>
    <border>
      <left/>
      <right/>
      <top style="medium">
        <color rgb="FF0B6F3A"/>
      </top>
      <bottom/>
      <diagonal/>
    </border>
    <border>
      <left/>
      <right style="medium">
        <color rgb="FF0B6F3A"/>
      </right>
      <top style="medium">
        <color rgb="FF0B6F3A"/>
      </top>
      <bottom/>
      <diagonal/>
    </border>
    <border>
      <left style="medium">
        <color rgb="FF0B6F3A"/>
      </left>
      <right/>
      <top/>
      <bottom style="medium">
        <color rgb="FF0B6F3A"/>
      </bottom>
      <diagonal/>
    </border>
    <border>
      <left/>
      <right/>
      <top/>
      <bottom style="medium">
        <color rgb="FF0B6F3A"/>
      </bottom>
      <diagonal/>
    </border>
    <border>
      <left/>
      <right style="medium">
        <color rgb="FF0B6F3A"/>
      </right>
      <top/>
      <bottom style="medium">
        <color rgb="FF0B6F3A"/>
      </bottom>
      <diagonal/>
    </border>
    <border>
      <left style="medium">
        <color rgb="FF0B6F3A"/>
      </left>
      <right/>
      <top/>
      <bottom/>
      <diagonal/>
    </border>
    <border>
      <left/>
      <right style="medium">
        <color rgb="FF0B6F3A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1" fillId="5" borderId="3" xfId="0" applyFont="1" applyFill="1" applyBorder="1"/>
    <xf numFmtId="0" fontId="11" fillId="5" borderId="4" xfId="0" applyFont="1" applyFill="1" applyBorder="1"/>
    <xf numFmtId="0" fontId="11" fillId="6" borderId="3" xfId="0" applyFont="1" applyFill="1" applyBorder="1"/>
    <xf numFmtId="0" fontId="11" fillId="6" borderId="5" xfId="0" applyFont="1" applyFill="1" applyBorder="1"/>
    <xf numFmtId="0" fontId="0" fillId="6" borderId="5" xfId="0" applyFill="1" applyBorder="1"/>
    <xf numFmtId="0" fontId="0" fillId="6" borderId="4" xfId="0" applyFill="1" applyBorder="1"/>
    <xf numFmtId="0" fontId="2" fillId="6" borderId="6" xfId="0" applyFont="1" applyFill="1" applyBorder="1" applyAlignment="1">
      <alignment horizontal="centerContinuous"/>
    </xf>
    <xf numFmtId="0" fontId="0" fillId="6" borderId="7" xfId="0" applyFill="1" applyBorder="1" applyAlignment="1">
      <alignment horizontal="centerContinuous"/>
    </xf>
    <xf numFmtId="0" fontId="0" fillId="6" borderId="8" xfId="0" applyFill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/>
    <xf numFmtId="0" fontId="0" fillId="0" borderId="13" xfId="0" applyBorder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 indent="1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9" fillId="0" borderId="0" xfId="0" applyFont="1" applyProtection="1">
      <protection locked="0"/>
    </xf>
    <xf numFmtId="0" fontId="2" fillId="2" borderId="0" xfId="0" applyFont="1" applyFill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17" fontId="1" fillId="3" borderId="0" xfId="0" applyNumberFormat="1" applyFont="1" applyFill="1" applyProtection="1">
      <protection locked="0"/>
    </xf>
    <xf numFmtId="17" fontId="2" fillId="2" borderId="0" xfId="0" applyNumberFormat="1" applyFont="1" applyFill="1" applyProtection="1">
      <protection locked="0"/>
    </xf>
    <xf numFmtId="9" fontId="0" fillId="0" borderId="0" xfId="0" applyNumberFormat="1" applyProtection="1">
      <protection locked="0"/>
    </xf>
    <xf numFmtId="0" fontId="8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9" fontId="0" fillId="0" borderId="0" xfId="1" applyFont="1" applyProtection="1">
      <protection locked="0"/>
    </xf>
    <xf numFmtId="165" fontId="4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0" fontId="1" fillId="0" borderId="2" xfId="0" applyFont="1" applyBorder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7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9" fontId="0" fillId="0" borderId="0" xfId="0" applyNumberFormat="1"/>
    <xf numFmtId="165" fontId="0" fillId="0" borderId="0" xfId="0" applyNumberFormat="1"/>
    <xf numFmtId="166" fontId="1" fillId="0" borderId="2" xfId="0" applyNumberFormat="1" applyFont="1" applyBorder="1"/>
    <xf numFmtId="166" fontId="0" fillId="0" borderId="0" xfId="0" applyNumberForma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1" fillId="3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right"/>
      <protection locked="0"/>
    </xf>
  </cellXfs>
  <cellStyles count="2">
    <cellStyle name="Normal" xfId="0" builtinId="0"/>
    <cellStyle name="Percent" xfId="1" builtinId="5"/>
  </cellStyles>
  <dxfs count="0"/>
  <tableStyles count="1" defaultTableStyle="TableStyleMedium9" defaultPivotStyle="PivotStyleLight16">
    <tableStyle name="Invisible" pivot="0" table="0" count="0" xr9:uid="{9F38D47C-6FB8-4A81-ADE7-3CF2428A8486}"/>
  </tableStyles>
  <colors>
    <mruColors>
      <color rgb="FF0B6F3A"/>
      <color rgb="FF018554"/>
      <color rgb="FFFF9F1C"/>
      <color rgb="FFFF3B3B"/>
      <color rgb="FF00E5FF"/>
      <color rgb="FFD68910"/>
      <color rgb="FFE74C3C"/>
      <color rgb="FF4DA3D9"/>
      <color rgb="FFB5E9F4"/>
      <color rgb="FF56A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solidFill>
                  <a:schemeClr val="bg1"/>
                </a:solidFill>
              </a:rPr>
              <a:t>Reveue &amp;</a:t>
            </a:r>
            <a:r>
              <a:rPr lang="en-IN" b="1" baseline="0">
                <a:solidFill>
                  <a:schemeClr val="bg1"/>
                </a:solidFill>
              </a:rPr>
              <a:t> Gross Margin</a:t>
            </a:r>
            <a:endParaRPr lang="en-IN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FORECAST!$B$101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FORECAST!$C$3:$L$3</c:f>
              <c:numCache>
                <c:formatCode>mmm\-yy</c:formatCode>
                <c:ptCount val="10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  <c:pt idx="3">
                  <c:v>45351</c:v>
                </c:pt>
                <c:pt idx="4">
                  <c:v>45716</c:v>
                </c:pt>
                <c:pt idx="5">
                  <c:v>46081</c:v>
                </c:pt>
                <c:pt idx="6">
                  <c:v>46446</c:v>
                </c:pt>
                <c:pt idx="7">
                  <c:v>46811</c:v>
                </c:pt>
                <c:pt idx="8">
                  <c:v>47176</c:v>
                </c:pt>
                <c:pt idx="9">
                  <c:v>47541</c:v>
                </c:pt>
              </c:numCache>
            </c:numRef>
          </c:cat>
          <c:val>
            <c:numRef>
              <c:f>FORECAST!$C$101:$L$101</c:f>
              <c:numCache>
                <c:formatCode>\₹\ #,##0_);\(\₹\ #,##0\);"–"</c:formatCode>
                <c:ptCount val="10"/>
                <c:pt idx="0">
                  <c:v>24143.06</c:v>
                </c:pt>
                <c:pt idx="1">
                  <c:v>30976.27</c:v>
                </c:pt>
                <c:pt idx="2">
                  <c:v>42839.56</c:v>
                </c:pt>
                <c:pt idx="3">
                  <c:v>50788.83</c:v>
                </c:pt>
                <c:pt idx="4">
                  <c:v>59358.05</c:v>
                </c:pt>
                <c:pt idx="5">
                  <c:v>71825.869331674068</c:v>
                </c:pt>
                <c:pt idx="6">
                  <c:v>86912.482894076151</c:v>
                </c:pt>
                <c:pt idx="7">
                  <c:v>105167.95345603958</c:v>
                </c:pt>
                <c:pt idx="8">
                  <c:v>127257.8813288691</c:v>
                </c:pt>
                <c:pt idx="9">
                  <c:v>153987.67236715215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4-4984-ABAB-9ECE083A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71"/>
        <c:axId val="1602419616"/>
        <c:axId val="1602412416"/>
      </c:barChart>
      <c:lineChart>
        <c:grouping val="standard"/>
        <c:varyColors val="0"/>
        <c:ser>
          <c:idx val="1"/>
          <c:order val="1"/>
          <c:tx>
            <c:strRef>
              <c:f>FORECAST!$B$102</c:f>
              <c:strCache>
                <c:ptCount val="1"/>
                <c:pt idx="0">
                  <c:v>Gross Profit Margin (%)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FORECAST!$C$102:$L$102</c:f>
              <c:numCache>
                <c:formatCode>0.0%</c:formatCode>
                <c:ptCount val="10"/>
                <c:pt idx="0">
                  <c:v>8.8231152140615068E-2</c:v>
                </c:pt>
                <c:pt idx="1">
                  <c:v>9.5163491278969392E-2</c:v>
                </c:pt>
                <c:pt idx="2">
                  <c:v>9.9820586392577265E-2</c:v>
                </c:pt>
                <c:pt idx="3">
                  <c:v>9.6604903085973914E-2</c:v>
                </c:pt>
                <c:pt idx="4">
                  <c:v>9.1635085721313264E-2</c:v>
                </c:pt>
                <c:pt idx="5">
                  <c:v>9.5884197182471653E-2</c:v>
                </c:pt>
                <c:pt idx="6">
                  <c:v>9.5884197182471695E-2</c:v>
                </c:pt>
                <c:pt idx="7">
                  <c:v>9.5884197182471681E-2</c:v>
                </c:pt>
                <c:pt idx="8">
                  <c:v>9.5884197182471653E-2</c:v>
                </c:pt>
                <c:pt idx="9">
                  <c:v>9.5884197182471667E-2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4-4984-ABAB-9ECE083A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440256"/>
        <c:axId val="1602434496"/>
      </c:lineChart>
      <c:dateAx>
        <c:axId val="160241961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9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412416"/>
        <c:crosses val="autoZero"/>
        <c:auto val="1"/>
        <c:lblOffset val="100"/>
        <c:baseTimeUnit val="years"/>
      </c:dateAx>
      <c:valAx>
        <c:axId val="1602412416"/>
        <c:scaling>
          <c:orientation val="minMax"/>
          <c:min val="20000"/>
        </c:scaling>
        <c:delete val="0"/>
        <c:axPos val="l"/>
        <c:numFmt formatCode="\₹\ #,##0_);\(\₹\ #,##0\);&quot;–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419616"/>
        <c:crosses val="autoZero"/>
        <c:crossBetween val="between"/>
      </c:valAx>
      <c:valAx>
        <c:axId val="1602434496"/>
        <c:scaling>
          <c:orientation val="minMax"/>
          <c:min val="8.500000000000002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440256"/>
        <c:crosses val="max"/>
        <c:crossBetween val="between"/>
        <c:minorUnit val="1.0000000000000002E-3"/>
      </c:valAx>
      <c:catAx>
        <c:axId val="1602440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2434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 sz="1400" b="1">
                <a:solidFill>
                  <a:schemeClr val="bg1"/>
                </a:solidFill>
              </a:rPr>
              <a:t>Cash</a:t>
            </a:r>
            <a:r>
              <a:rPr lang="en-IN" sz="1400">
                <a:solidFill>
                  <a:schemeClr val="bg1"/>
                </a:solidFill>
              </a:rPr>
              <a:t> </a:t>
            </a:r>
            <a:r>
              <a:rPr lang="en-IN" sz="1400" b="1">
                <a:solidFill>
                  <a:schemeClr val="bg1"/>
                </a:solidFill>
              </a:rPr>
              <a:t>Flow</a:t>
            </a:r>
            <a:r>
              <a:rPr lang="en-IN" sz="1400">
                <a:solidFill>
                  <a:schemeClr val="bg1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FORECAST!$B$104</c:f>
              <c:strCache>
                <c:ptCount val="1"/>
                <c:pt idx="0">
                  <c:v>Operating Cash Flow</c:v>
                </c:pt>
              </c:strCache>
            </c:strRef>
          </c:tx>
          <c:spPr>
            <a:solidFill>
              <a:srgbClr val="00E5FF"/>
            </a:solidFill>
            <a:ln>
              <a:noFill/>
            </a:ln>
            <a:effectLst/>
          </c:spPr>
          <c:invertIfNegative val="0"/>
          <c:cat>
            <c:numRef>
              <c:f>FORECAST!$C$3:$L$3</c:f>
              <c:numCache>
                <c:formatCode>mmm\-yy</c:formatCode>
                <c:ptCount val="10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  <c:pt idx="3">
                  <c:v>45351</c:v>
                </c:pt>
                <c:pt idx="4">
                  <c:v>45716</c:v>
                </c:pt>
                <c:pt idx="5">
                  <c:v>46081</c:v>
                </c:pt>
                <c:pt idx="6">
                  <c:v>46446</c:v>
                </c:pt>
                <c:pt idx="7">
                  <c:v>46811</c:v>
                </c:pt>
                <c:pt idx="8">
                  <c:v>47176</c:v>
                </c:pt>
                <c:pt idx="9">
                  <c:v>47541</c:v>
                </c:pt>
              </c:numCache>
            </c:numRef>
          </c:cat>
          <c:val>
            <c:numRef>
              <c:f>FORECAST!$C$104:$L$104</c:f>
              <c:numCache>
                <c:formatCode>\₹\ #,##0_);\(\₹\ #,##0\);"–"</c:formatCode>
                <c:ptCount val="10"/>
                <c:pt idx="0">
                  <c:v>1375</c:v>
                </c:pt>
                <c:pt idx="1">
                  <c:v>1373</c:v>
                </c:pt>
                <c:pt idx="2">
                  <c:v>2630</c:v>
                </c:pt>
                <c:pt idx="3">
                  <c:v>2745</c:v>
                </c:pt>
                <c:pt idx="4">
                  <c:v>2463</c:v>
                </c:pt>
                <c:pt idx="5">
                  <c:v>4694.9363469353821</c:v>
                </c:pt>
                <c:pt idx="6">
                  <c:v>5577.8331584852367</c:v>
                </c:pt>
                <c:pt idx="7">
                  <c:v>6752.7761543957422</c:v>
                </c:pt>
                <c:pt idx="8">
                  <c:v>8174.7685967772277</c:v>
                </c:pt>
                <c:pt idx="9">
                  <c:v>9895.7218878883159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1-4125-B0DF-D97AEB4EB603}"/>
            </c:ext>
          </c:extLst>
        </c:ser>
        <c:ser>
          <c:idx val="1"/>
          <c:order val="1"/>
          <c:tx>
            <c:strRef>
              <c:f>FORECAST!$B$105</c:f>
              <c:strCache>
                <c:ptCount val="1"/>
                <c:pt idx="0">
                  <c:v>Investing Cash Flow</c:v>
                </c:pt>
              </c:strCache>
            </c:strRef>
          </c:tx>
          <c:spPr>
            <a:solidFill>
              <a:srgbClr val="FF3B3B"/>
            </a:solidFill>
            <a:ln>
              <a:noFill/>
            </a:ln>
            <a:effectLst/>
          </c:spPr>
          <c:invertIfNegative val="0"/>
          <c:cat>
            <c:numRef>
              <c:f>FORECAST!$C$3:$L$3</c:f>
              <c:numCache>
                <c:formatCode>mmm\-yy</c:formatCode>
                <c:ptCount val="10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  <c:pt idx="3">
                  <c:v>45351</c:v>
                </c:pt>
                <c:pt idx="4">
                  <c:v>45716</c:v>
                </c:pt>
                <c:pt idx="5">
                  <c:v>46081</c:v>
                </c:pt>
                <c:pt idx="6">
                  <c:v>46446</c:v>
                </c:pt>
                <c:pt idx="7">
                  <c:v>46811</c:v>
                </c:pt>
                <c:pt idx="8">
                  <c:v>47176</c:v>
                </c:pt>
                <c:pt idx="9">
                  <c:v>47541</c:v>
                </c:pt>
              </c:numCache>
            </c:numRef>
          </c:cat>
          <c:val>
            <c:numRef>
              <c:f>FORECAST!$C$105:$L$105</c:f>
              <c:numCache>
                <c:formatCode>\₹\ #,##0_);\(\₹\ #,##0\);"–"</c:formatCode>
                <c:ptCount val="10"/>
                <c:pt idx="0">
                  <c:v>-1109</c:v>
                </c:pt>
                <c:pt idx="1">
                  <c:v>-1288</c:v>
                </c:pt>
                <c:pt idx="2">
                  <c:v>-2313</c:v>
                </c:pt>
                <c:pt idx="3">
                  <c:v>-2468</c:v>
                </c:pt>
                <c:pt idx="4">
                  <c:v>-2184</c:v>
                </c:pt>
                <c:pt idx="5">
                  <c:v>-4007.3149301398375</c:v>
                </c:pt>
                <c:pt idx="6">
                  <c:v>-4845.4256154300583</c:v>
                </c:pt>
                <c:pt idx="7">
                  <c:v>-5929.9784452841277</c:v>
                </c:pt>
                <c:pt idx="8">
                  <c:v>-7193.2578199163272</c:v>
                </c:pt>
                <c:pt idx="9">
                  <c:v>-8731.1329379737617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1-4125-B0DF-D97AEB4EB603}"/>
            </c:ext>
          </c:extLst>
        </c:ser>
        <c:ser>
          <c:idx val="2"/>
          <c:order val="2"/>
          <c:tx>
            <c:strRef>
              <c:f>FORECAST!$B$106</c:f>
              <c:strCache>
                <c:ptCount val="1"/>
                <c:pt idx="0">
                  <c:v>Financing Cash Flow</c:v>
                </c:pt>
              </c:strCache>
            </c:strRef>
          </c:tx>
          <c:spPr>
            <a:solidFill>
              <a:srgbClr val="FF9F1C"/>
            </a:solidFill>
            <a:ln>
              <a:noFill/>
            </a:ln>
            <a:effectLst/>
          </c:spPr>
          <c:invertIfNegative val="0"/>
          <c:cat>
            <c:numRef>
              <c:f>FORECAST!$C$3:$L$3</c:f>
              <c:numCache>
                <c:formatCode>mmm\-yy</c:formatCode>
                <c:ptCount val="10"/>
                <c:pt idx="0">
                  <c:v>44256</c:v>
                </c:pt>
                <c:pt idx="1">
                  <c:v>44621</c:v>
                </c:pt>
                <c:pt idx="2">
                  <c:v>44986</c:v>
                </c:pt>
                <c:pt idx="3">
                  <c:v>45351</c:v>
                </c:pt>
                <c:pt idx="4">
                  <c:v>45716</c:v>
                </c:pt>
                <c:pt idx="5">
                  <c:v>46081</c:v>
                </c:pt>
                <c:pt idx="6">
                  <c:v>46446</c:v>
                </c:pt>
                <c:pt idx="7">
                  <c:v>46811</c:v>
                </c:pt>
                <c:pt idx="8">
                  <c:v>47176</c:v>
                </c:pt>
                <c:pt idx="9">
                  <c:v>47541</c:v>
                </c:pt>
              </c:numCache>
            </c:numRef>
          </c:cat>
          <c:val>
            <c:numRef>
              <c:f>FORECAST!$C$106:$L$106</c:f>
              <c:numCache>
                <c:formatCode>\₹\ #,##0_);\(\₹\ #,##0\);"–"</c:formatCode>
                <c:ptCount val="10"/>
                <c:pt idx="0">
                  <c:v>-180</c:v>
                </c:pt>
                <c:pt idx="1">
                  <c:v>-179</c:v>
                </c:pt>
                <c:pt idx="2">
                  <c:v>-204</c:v>
                </c:pt>
                <c:pt idx="3">
                  <c:v>-147</c:v>
                </c:pt>
                <c:pt idx="4">
                  <c:v>-259</c:v>
                </c:pt>
                <c:pt idx="5">
                  <c:v>-385.81239020245368</c:v>
                </c:pt>
                <c:pt idx="6">
                  <c:v>-510.49929981387191</c:v>
                </c:pt>
                <c:pt idx="7">
                  <c:v>-631.63846382946429</c:v>
                </c:pt>
                <c:pt idx="8">
                  <c:v>-779.29904177963817</c:v>
                </c:pt>
                <c:pt idx="9">
                  <c:v>-959.13505592932825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1-4125-B0DF-D97AEB4E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overlap val="100"/>
        <c:axId val="1602381696"/>
        <c:axId val="1602385056"/>
      </c:barChart>
      <c:dateAx>
        <c:axId val="160238169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rgbClr val="B5E9F4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385056"/>
        <c:crosses val="autoZero"/>
        <c:auto val="1"/>
        <c:lblOffset val="100"/>
        <c:baseTimeUnit val="years"/>
      </c:dateAx>
      <c:valAx>
        <c:axId val="1602385056"/>
        <c:scaling>
          <c:orientation val="minMax"/>
        </c:scaling>
        <c:delete val="0"/>
        <c:axPos val="l"/>
        <c:numFmt formatCode="\₹\ #,##0_);\(\₹\ #,##0\);&quot;–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38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</xdr:colOff>
      <xdr:row>1</xdr:row>
      <xdr:rowOff>68146</xdr:rowOff>
    </xdr:from>
    <xdr:ext cx="867661" cy="221469"/>
    <xdr:pic>
      <xdr:nvPicPr>
        <xdr:cNvPr id="6" name="Picture 5">
          <a:extLst>
            <a:ext uri="{FF2B5EF4-FFF2-40B4-BE49-F238E27FC236}">
              <a16:creationId xmlns:a16="http://schemas.microsoft.com/office/drawing/2014/main" id="{0675AE01-5CDE-43A4-81C2-E25F10EA6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53" b="26575"/>
        <a:stretch>
          <a:fillRect/>
        </a:stretch>
      </xdr:blipFill>
      <xdr:spPr>
        <a:xfrm>
          <a:off x="206793" y="68146"/>
          <a:ext cx="867661" cy="221469"/>
        </a:xfrm>
        <a:prstGeom prst="rect">
          <a:avLst/>
        </a:prstGeom>
      </xdr:spPr>
    </xdr:pic>
    <xdr:clientData/>
  </xdr:oneCellAnchor>
  <xdr:twoCellAnchor editAs="oneCell">
    <xdr:from>
      <xdr:col>1</xdr:col>
      <xdr:colOff>34387</xdr:colOff>
      <xdr:row>8</xdr:row>
      <xdr:rowOff>45956</xdr:rowOff>
    </xdr:from>
    <xdr:to>
      <xdr:col>1</xdr:col>
      <xdr:colOff>352963</xdr:colOff>
      <xdr:row>10</xdr:row>
      <xdr:rowOff>53212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026A7F-A5F1-7872-6051-986158104C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79" r="58792" b="60944"/>
        <a:stretch>
          <a:fillRect/>
        </a:stretch>
      </xdr:blipFill>
      <xdr:spPr>
        <a:xfrm>
          <a:off x="193137" y="1582656"/>
          <a:ext cx="318576" cy="242206"/>
        </a:xfrm>
        <a:prstGeom prst="rect">
          <a:avLst/>
        </a:prstGeom>
      </xdr:spPr>
    </xdr:pic>
    <xdr:clientData/>
  </xdr:twoCellAnchor>
  <xdr:twoCellAnchor editAs="oneCell">
    <xdr:from>
      <xdr:col>1</xdr:col>
      <xdr:colOff>53060</xdr:colOff>
      <xdr:row>10</xdr:row>
      <xdr:rowOff>165100</xdr:rowOff>
    </xdr:from>
    <xdr:to>
      <xdr:col>1</xdr:col>
      <xdr:colOff>346990</xdr:colOff>
      <xdr:row>12</xdr:row>
      <xdr:rowOff>57302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BFC6DD-7D32-4B62-92B8-07499C56EE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756" t="5502" r="6224" b="60106"/>
        <a:stretch>
          <a:fillRect/>
        </a:stretch>
      </xdr:blipFill>
      <xdr:spPr>
        <a:xfrm>
          <a:off x="211810" y="1936750"/>
          <a:ext cx="293930" cy="26050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95250</xdr:rowOff>
    </xdr:from>
    <xdr:to>
      <xdr:col>1</xdr:col>
      <xdr:colOff>374650</xdr:colOff>
      <xdr:row>14</xdr:row>
      <xdr:rowOff>88900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CE17D4-61DE-4129-87D0-41FF4F9FAB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42" t="39874" r="56566" b="12341"/>
        <a:stretch>
          <a:fillRect/>
        </a:stretch>
      </xdr:blipFill>
      <xdr:spPr>
        <a:xfrm>
          <a:off x="184150" y="2235200"/>
          <a:ext cx="349250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146050</xdr:rowOff>
    </xdr:from>
    <xdr:to>
      <xdr:col>1</xdr:col>
      <xdr:colOff>352425</xdr:colOff>
      <xdr:row>16</xdr:row>
      <xdr:rowOff>69850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2481688-D1D6-4D49-8769-58A38B58E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13" t="46581" r="6461" b="14856"/>
        <a:stretch>
          <a:fillRect/>
        </a:stretch>
      </xdr:blipFill>
      <xdr:spPr>
        <a:xfrm>
          <a:off x="206375" y="2654300"/>
          <a:ext cx="304800" cy="29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146843</xdr:colOff>
      <xdr:row>108</xdr:row>
      <xdr:rowOff>45225</xdr:rowOff>
    </xdr:from>
    <xdr:to>
      <xdr:col>5</xdr:col>
      <xdr:colOff>443205</xdr:colOff>
      <xdr:row>122</xdr:row>
      <xdr:rowOff>52726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2AC94E25-F64D-2FD2-1A51-0665AAE66A68}"/>
            </a:ext>
          </a:extLst>
        </xdr:cNvPr>
        <xdr:cNvGrpSpPr/>
      </xdr:nvGrpSpPr>
      <xdr:grpSpPr>
        <a:xfrm>
          <a:off x="146843" y="20113817"/>
          <a:ext cx="4448484" cy="2620072"/>
          <a:chOff x="146843" y="19952233"/>
          <a:chExt cx="4153014" cy="2620073"/>
        </a:xfrm>
        <a:gradFill flip="none" rotWithShape="1">
          <a:gsLst>
            <a:gs pos="0">
              <a:srgbClr val="018554">
                <a:shade val="30000"/>
                <a:satMod val="115000"/>
              </a:srgbClr>
            </a:gs>
            <a:gs pos="50000">
              <a:srgbClr val="018554">
                <a:shade val="67500"/>
                <a:satMod val="115000"/>
              </a:srgbClr>
            </a:gs>
            <a:gs pos="100000">
              <a:srgbClr val="018554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6F97E34-D952-E04C-528D-74D7B2A9BF12}"/>
              </a:ext>
            </a:extLst>
          </xdr:cNvPr>
          <xdr:cNvSpPr/>
        </xdr:nvSpPr>
        <xdr:spPr>
          <a:xfrm>
            <a:off x="154163" y="19962128"/>
            <a:ext cx="4145694" cy="2610178"/>
          </a:xfrm>
          <a:prstGeom prst="roundRect">
            <a:avLst>
              <a:gd name="adj" fmla="val 7456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 b="1"/>
          </a:p>
        </xdr:txBody>
      </xdr:sp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15A19FC-5168-D669-8DA5-FC3824F22F12}"/>
              </a:ext>
            </a:extLst>
          </xdr:cNvPr>
          <xdr:cNvGraphicFramePr/>
        </xdr:nvGraphicFramePr>
        <xdr:xfrm>
          <a:off x="146843" y="19952233"/>
          <a:ext cx="4138748" cy="26125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5</xdr:col>
      <xdr:colOff>771423</xdr:colOff>
      <xdr:row>108</xdr:row>
      <xdr:rowOff>44921</xdr:rowOff>
    </xdr:from>
    <xdr:to>
      <xdr:col>11</xdr:col>
      <xdr:colOff>689638</xdr:colOff>
      <xdr:row>122</xdr:row>
      <xdr:rowOff>53029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BD3643E-DF6B-9053-F5B8-BCF1C84CACF8}"/>
            </a:ext>
          </a:extLst>
        </xdr:cNvPr>
        <xdr:cNvGrpSpPr/>
      </xdr:nvGrpSpPr>
      <xdr:grpSpPr>
        <a:xfrm>
          <a:off x="4923545" y="20113513"/>
          <a:ext cx="4148093" cy="2620679"/>
          <a:chOff x="4698049" y="19933271"/>
          <a:chExt cx="4148093" cy="2620680"/>
        </a:xfrm>
        <a:gradFill flip="none" rotWithShape="1">
          <a:gsLst>
            <a:gs pos="0">
              <a:srgbClr val="018554">
                <a:shade val="30000"/>
                <a:satMod val="115000"/>
              </a:srgbClr>
            </a:gs>
            <a:gs pos="50000">
              <a:srgbClr val="018554">
                <a:shade val="67500"/>
                <a:satMod val="115000"/>
              </a:srgbClr>
            </a:gs>
            <a:gs pos="100000">
              <a:srgbClr val="018554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27E5D345-EC5A-4539-87BA-A3ACA88E8212}"/>
              </a:ext>
            </a:extLst>
          </xdr:cNvPr>
          <xdr:cNvSpPr/>
        </xdr:nvSpPr>
        <xdr:spPr>
          <a:xfrm>
            <a:off x="4703910" y="19938767"/>
            <a:ext cx="4142232" cy="2615184"/>
          </a:xfrm>
          <a:prstGeom prst="roundRect">
            <a:avLst>
              <a:gd name="adj" fmla="val 7456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2626CB38-FFD4-317C-C8F2-68034EE34EAF}"/>
              </a:ext>
            </a:extLst>
          </xdr:cNvPr>
          <xdr:cNvGraphicFramePr/>
        </xdr:nvGraphicFramePr>
        <xdr:xfrm>
          <a:off x="4698049" y="19933271"/>
          <a:ext cx="4142232" cy="26151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0</xdr:col>
      <xdr:colOff>132183</xdr:colOff>
      <xdr:row>0</xdr:row>
      <xdr:rowOff>39297</xdr:rowOff>
    </xdr:from>
    <xdr:to>
      <xdr:col>1</xdr:col>
      <xdr:colOff>1663958</xdr:colOff>
      <xdr:row>1</xdr:row>
      <xdr:rowOff>25958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5CC318-CD3C-2D95-CD2B-1FF90B7BB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970" b="33982"/>
        <a:stretch>
          <a:fillRect/>
        </a:stretch>
      </xdr:blipFill>
      <xdr:spPr>
        <a:xfrm>
          <a:off x="132183" y="39297"/>
          <a:ext cx="1695061" cy="3832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EC8D-034D-4274-9CD3-D46886BA5611}">
  <dimension ref="B1:P21"/>
  <sheetViews>
    <sheetView showGridLines="0" tabSelected="1" zoomScale="120" workbookViewId="0">
      <selection activeCell="S5" sqref="S5"/>
    </sheetView>
  </sheetViews>
  <sheetFormatPr defaultRowHeight="14.4" x14ac:dyDescent="0.3"/>
  <cols>
    <col min="1" max="1" width="2.33203125" customWidth="1"/>
    <col min="2" max="2" width="6.5546875" customWidth="1"/>
    <col min="3" max="3" width="7.21875" customWidth="1"/>
    <col min="4" max="4" width="8.88671875" customWidth="1"/>
    <col min="8" max="8" width="8.88671875" customWidth="1"/>
    <col min="16" max="16" width="2.21875" customWidth="1"/>
  </cols>
  <sheetData>
    <row r="1" spans="2:16" ht="4.8" customHeight="1" thickBot="1" x14ac:dyDescent="0.35"/>
    <row r="2" spans="2:16" ht="27" thickTop="1" thickBot="1" x14ac:dyDescent="0.55000000000000004">
      <c r="B2" s="1"/>
      <c r="C2" s="2"/>
      <c r="D2" s="3" t="s">
        <v>84</v>
      </c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6"/>
    </row>
    <row r="3" spans="2:16" ht="15.6" thickTop="1" thickBot="1" x14ac:dyDescent="0.35"/>
    <row r="4" spans="2:16" x14ac:dyDescent="0.3">
      <c r="B4" s="7" t="s">
        <v>85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ht="15" thickBot="1" x14ac:dyDescent="0.35">
      <c r="B5" s="10" t="s">
        <v>86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7" spans="2:16" ht="15" thickBot="1" x14ac:dyDescent="0.35"/>
    <row r="8" spans="2:16" x14ac:dyDescent="0.3">
      <c r="B8" s="20" t="s">
        <v>62</v>
      </c>
      <c r="C8" s="21"/>
      <c r="D8" s="21"/>
      <c r="E8" s="21"/>
      <c r="F8" s="21"/>
      <c r="G8" s="21"/>
      <c r="H8" s="22"/>
      <c r="J8" s="20" t="s">
        <v>97</v>
      </c>
      <c r="K8" s="21"/>
      <c r="L8" s="21"/>
      <c r="M8" s="21"/>
      <c r="N8" s="21"/>
      <c r="O8" s="21"/>
      <c r="P8" s="22"/>
    </row>
    <row r="9" spans="2:16" ht="4.2" customHeight="1" x14ac:dyDescent="0.3">
      <c r="B9" s="13"/>
      <c r="H9" s="14"/>
      <c r="J9" s="13"/>
      <c r="P9" s="14"/>
    </row>
    <row r="10" spans="2:16" x14ac:dyDescent="0.3">
      <c r="B10" s="13"/>
      <c r="C10" s="15" t="s">
        <v>87</v>
      </c>
      <c r="H10" s="14"/>
      <c r="J10" s="19" t="s">
        <v>91</v>
      </c>
      <c r="P10" s="14"/>
    </row>
    <row r="11" spans="2:16" x14ac:dyDescent="0.3">
      <c r="B11" s="13"/>
      <c r="H11" s="14"/>
      <c r="J11" s="19" t="s">
        <v>92</v>
      </c>
      <c r="P11" s="14"/>
    </row>
    <row r="12" spans="2:16" x14ac:dyDescent="0.3">
      <c r="B12" s="13"/>
      <c r="C12" t="s">
        <v>88</v>
      </c>
      <c r="H12" s="14"/>
      <c r="J12" s="19" t="s">
        <v>93</v>
      </c>
      <c r="P12" s="14"/>
    </row>
    <row r="13" spans="2:16" x14ac:dyDescent="0.3">
      <c r="B13" s="13"/>
      <c r="H13" s="14"/>
      <c r="J13" s="19" t="s">
        <v>94</v>
      </c>
      <c r="P13" s="14"/>
    </row>
    <row r="14" spans="2:16" x14ac:dyDescent="0.3">
      <c r="B14" s="13"/>
      <c r="C14" t="s">
        <v>89</v>
      </c>
      <c r="H14" s="14"/>
      <c r="J14" s="19" t="s">
        <v>96</v>
      </c>
      <c r="P14" s="14"/>
    </row>
    <row r="15" spans="2:16" x14ac:dyDescent="0.3">
      <c r="B15" s="13"/>
      <c r="H15" s="14"/>
      <c r="J15" s="19" t="s">
        <v>95</v>
      </c>
      <c r="P15" s="14"/>
    </row>
    <row r="16" spans="2:16" x14ac:dyDescent="0.3">
      <c r="B16" s="13"/>
      <c r="C16" t="s">
        <v>90</v>
      </c>
      <c r="H16" s="14"/>
      <c r="J16" s="13"/>
      <c r="P16" s="14"/>
    </row>
    <row r="17" spans="2:16" ht="9" customHeight="1" thickBot="1" x14ac:dyDescent="0.35">
      <c r="B17" s="16"/>
      <c r="C17" s="17"/>
      <c r="D17" s="17"/>
      <c r="E17" s="17"/>
      <c r="F17" s="17"/>
      <c r="G17" s="17"/>
      <c r="H17" s="18"/>
      <c r="J17" s="16"/>
      <c r="K17" s="17"/>
      <c r="L17" s="17"/>
      <c r="M17" s="17"/>
      <c r="N17" s="17"/>
      <c r="O17" s="17"/>
      <c r="P17" s="18"/>
    </row>
    <row r="18" spans="2:16" ht="15" thickBot="1" x14ac:dyDescent="0.35"/>
    <row r="19" spans="2:16" x14ac:dyDescent="0.3">
      <c r="B19" s="20" t="s">
        <v>62</v>
      </c>
      <c r="C19" s="21"/>
      <c r="D19" s="21"/>
      <c r="E19" s="21"/>
      <c r="F19" s="21"/>
      <c r="G19" s="21"/>
      <c r="H19" s="22"/>
      <c r="J19" s="20" t="s">
        <v>100</v>
      </c>
      <c r="K19" s="21"/>
      <c r="L19" s="21"/>
      <c r="M19" s="21"/>
      <c r="N19" s="21"/>
      <c r="O19" s="21"/>
      <c r="P19" s="22"/>
    </row>
    <row r="20" spans="2:16" x14ac:dyDescent="0.3">
      <c r="B20" s="13" t="s">
        <v>98</v>
      </c>
      <c r="H20" s="14"/>
      <c r="J20" s="23" t="s">
        <v>101</v>
      </c>
      <c r="K20" s="24"/>
      <c r="L20" s="24"/>
      <c r="M20" s="24"/>
      <c r="N20" s="24"/>
      <c r="O20" s="24"/>
      <c r="P20" s="25"/>
    </row>
    <row r="21" spans="2:16" ht="15" thickBot="1" x14ac:dyDescent="0.35">
      <c r="B21" s="16" t="s">
        <v>99</v>
      </c>
      <c r="C21" s="17"/>
      <c r="D21" s="17"/>
      <c r="E21" s="17"/>
      <c r="F21" s="17"/>
      <c r="G21" s="17"/>
      <c r="H21" s="18"/>
      <c r="J21" s="26" t="s">
        <v>102</v>
      </c>
      <c r="K21" s="27"/>
      <c r="L21" s="27"/>
      <c r="M21" s="27"/>
      <c r="N21" s="27"/>
      <c r="O21" s="27"/>
      <c r="P21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FDD6-F351-49FF-8C80-BFB0D2CE3D18}">
  <dimension ref="B1:V106"/>
  <sheetViews>
    <sheetView showGridLines="0" zoomScale="98" zoomScaleNormal="104" zoomScaleSheetLayoutView="83" workbookViewId="0">
      <pane ySplit="3" topLeftCell="A4" activePane="bottomLeft" state="frozen"/>
      <selection pane="bottomLeft" activeCell="N113" sqref="N113"/>
    </sheetView>
  </sheetViews>
  <sheetFormatPr defaultRowHeight="14.4" x14ac:dyDescent="0.3"/>
  <cols>
    <col min="1" max="1" width="2.33203125" style="31" customWidth="1"/>
    <col min="2" max="2" width="26.44140625" style="31" customWidth="1"/>
    <col min="3" max="3" width="8.88671875" style="31" customWidth="1"/>
    <col min="4" max="7" width="11.44140625" style="31" bestFit="1" customWidth="1"/>
    <col min="8" max="9" width="9.44140625" style="31" bestFit="1" customWidth="1"/>
    <col min="10" max="11" width="10" style="31" bestFit="1" customWidth="1"/>
    <col min="12" max="12" width="10.88671875" style="31" bestFit="1" customWidth="1"/>
    <col min="13" max="13" width="8.88671875" style="31"/>
    <col min="14" max="14" width="10" style="31" bestFit="1" customWidth="1"/>
    <col min="15" max="16384" width="8.88671875" style="31"/>
  </cols>
  <sheetData>
    <row r="1" spans="2:17" s="29" customFormat="1" ht="31.2" x14ac:dyDescent="0.6">
      <c r="B1" s="59" t="s">
        <v>76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7" x14ac:dyDescent="0.3">
      <c r="B2" s="58" t="s">
        <v>7</v>
      </c>
      <c r="C2" s="57" t="s">
        <v>61</v>
      </c>
      <c r="D2" s="57"/>
      <c r="E2" s="57"/>
      <c r="F2" s="57"/>
      <c r="G2" s="57"/>
      <c r="H2" s="30" t="s">
        <v>18</v>
      </c>
      <c r="I2" s="30"/>
      <c r="J2" s="30"/>
      <c r="K2" s="30"/>
      <c r="L2" s="30"/>
    </row>
    <row r="3" spans="2:17" x14ac:dyDescent="0.3">
      <c r="B3" s="58"/>
      <c r="C3" s="32">
        <v>44256</v>
      </c>
      <c r="D3" s="32">
        <f>C3+365</f>
        <v>44621</v>
      </c>
      <c r="E3" s="32">
        <f t="shared" ref="E3:L3" si="0">D3+365</f>
        <v>44986</v>
      </c>
      <c r="F3" s="32">
        <f t="shared" si="0"/>
        <v>45351</v>
      </c>
      <c r="G3" s="32">
        <f t="shared" si="0"/>
        <v>45716</v>
      </c>
      <c r="H3" s="33">
        <f t="shared" si="0"/>
        <v>46081</v>
      </c>
      <c r="I3" s="33">
        <f t="shared" si="0"/>
        <v>46446</v>
      </c>
      <c r="J3" s="33">
        <f t="shared" si="0"/>
        <v>46811</v>
      </c>
      <c r="K3" s="33">
        <f t="shared" si="0"/>
        <v>47176</v>
      </c>
      <c r="L3" s="33">
        <f t="shared" si="0"/>
        <v>47541</v>
      </c>
    </row>
    <row r="4" spans="2:17" x14ac:dyDescent="0.3">
      <c r="N4" s="34"/>
    </row>
    <row r="5" spans="2:17" ht="18.600000000000001" thickBot="1" x14ac:dyDescent="0.4">
      <c r="B5" s="35" t="s">
        <v>62</v>
      </c>
      <c r="C5" s="36"/>
      <c r="D5" s="36"/>
      <c r="E5" s="36"/>
      <c r="F5" s="36"/>
      <c r="G5" s="36"/>
      <c r="H5" s="36"/>
      <c r="I5" s="36"/>
      <c r="J5" s="36"/>
      <c r="K5" s="36"/>
      <c r="L5" s="36"/>
      <c r="N5" s="34"/>
    </row>
    <row r="6" spans="2:17" s="37" customFormat="1" ht="4.95" customHeight="1" x14ac:dyDescent="0.3"/>
    <row r="7" spans="2:17" x14ac:dyDescent="0.3">
      <c r="B7" s="31" t="s">
        <v>63</v>
      </c>
      <c r="C7"/>
      <c r="D7" s="51">
        <f>D24/C24-1</f>
        <v>0.28302998874210639</v>
      </c>
      <c r="E7" s="51">
        <f>E24/D24-1</f>
        <v>0.38297993915987938</v>
      </c>
      <c r="F7" s="51">
        <f>F24/E24-1</f>
        <v>0.18555909537819737</v>
      </c>
      <c r="G7" s="51">
        <f>G24/F24-1</f>
        <v>0.16872253210007004</v>
      </c>
      <c r="H7" s="38">
        <v>0.21004428770274738</v>
      </c>
      <c r="I7" s="38">
        <v>0.21004428770274738</v>
      </c>
      <c r="J7" s="38">
        <v>0.21004428770274738</v>
      </c>
      <c r="K7" s="38">
        <v>0.21004428770274738</v>
      </c>
      <c r="L7" s="38">
        <v>0.21004428770274738</v>
      </c>
    </row>
    <row r="8" spans="2:17" x14ac:dyDescent="0.3">
      <c r="B8" s="31" t="s">
        <v>64</v>
      </c>
      <c r="C8" s="51">
        <f>C25/C24</f>
        <v>0.91176884785938495</v>
      </c>
      <c r="D8" s="51">
        <f t="shared" ref="D8:G8" si="1">D25/D24</f>
        <v>0.90483650872103061</v>
      </c>
      <c r="E8" s="51">
        <f t="shared" si="1"/>
        <v>0.90017941360742271</v>
      </c>
      <c r="F8" s="51">
        <f t="shared" si="1"/>
        <v>0.90339509691402609</v>
      </c>
      <c r="G8" s="51">
        <f t="shared" si="1"/>
        <v>0.90836491427868671</v>
      </c>
      <c r="H8" s="38">
        <v>0.90411580281752835</v>
      </c>
      <c r="I8" s="38">
        <v>0.90411580281752835</v>
      </c>
      <c r="J8" s="38">
        <v>0.90411580281752835</v>
      </c>
      <c r="K8" s="38">
        <v>0.90411580281752835</v>
      </c>
      <c r="L8" s="38">
        <v>0.90411580281752835</v>
      </c>
      <c r="M8" s="34"/>
    </row>
    <row r="9" spans="2:17" x14ac:dyDescent="0.3">
      <c r="B9" s="31" t="s">
        <v>12</v>
      </c>
      <c r="C9" s="52">
        <f>C28/C24</f>
        <v>4.5019148359818515E-3</v>
      </c>
      <c r="D9" s="52">
        <f t="shared" ref="D9:G9" si="2">D28/D24</f>
        <v>4.6296729722461738E-3</v>
      </c>
      <c r="E9" s="52">
        <f t="shared" si="2"/>
        <v>4.9496306684755865E-3</v>
      </c>
      <c r="F9" s="52">
        <f t="shared" si="2"/>
        <v>5.4033534538992138E-3</v>
      </c>
      <c r="G9" s="52">
        <f t="shared" si="2"/>
        <v>5.26432387856407E-3</v>
      </c>
      <c r="H9" s="38">
        <v>5.0000000000000001E-3</v>
      </c>
      <c r="I9" s="38">
        <v>5.0000000000000001E-3</v>
      </c>
      <c r="J9" s="38">
        <v>5.0000000000000001E-3</v>
      </c>
      <c r="K9" s="38">
        <v>5.0000000000000001E-3</v>
      </c>
      <c r="L9" s="38">
        <v>5.0000000000000001E-3</v>
      </c>
      <c r="M9" s="40"/>
      <c r="N9" s="40"/>
      <c r="O9" s="40"/>
      <c r="P9" s="40"/>
      <c r="Q9" s="40"/>
    </row>
    <row r="10" spans="2:17" x14ac:dyDescent="0.3">
      <c r="B10" s="31" t="s">
        <v>65</v>
      </c>
      <c r="C10" s="52">
        <f>C31/-C75</f>
        <v>0.20412025628388369</v>
      </c>
      <c r="D10" s="52">
        <f>D31/-D75</f>
        <v>0.20667219917012447</v>
      </c>
      <c r="E10" s="52">
        <f>E31/-E75</f>
        <v>0.28882007233273055</v>
      </c>
      <c r="F10" s="52">
        <f>F31/-F75</f>
        <v>0.26757964115708532</v>
      </c>
      <c r="G10" s="52">
        <f>G31/-G75</f>
        <v>0.254022787028922</v>
      </c>
      <c r="H10" s="38">
        <v>0.254022787028922</v>
      </c>
      <c r="I10" s="38">
        <v>0.254022787028922</v>
      </c>
      <c r="J10" s="38">
        <v>0.254022787028922</v>
      </c>
      <c r="K10" s="38">
        <v>0.254022787028922</v>
      </c>
      <c r="L10" s="38">
        <v>0.254022787028922</v>
      </c>
      <c r="M10" s="39"/>
      <c r="N10" s="39"/>
      <c r="O10" s="39"/>
      <c r="P10" s="39"/>
      <c r="Q10" s="39"/>
    </row>
    <row r="11" spans="2:17" x14ac:dyDescent="0.3">
      <c r="B11" s="31" t="s">
        <v>66</v>
      </c>
      <c r="C11" s="52">
        <f>C34/C44</f>
        <v>0.10605790532453974</v>
      </c>
      <c r="D11" s="52">
        <f t="shared" ref="D11:G11" si="3">D34/D44</f>
        <v>8.3145268494759936E-2</v>
      </c>
      <c r="E11" s="52">
        <f t="shared" si="3"/>
        <v>0.10483996391800678</v>
      </c>
      <c r="F11" s="52">
        <f t="shared" si="3"/>
        <v>9.8166036206430704E-2</v>
      </c>
      <c r="G11" s="52">
        <f t="shared" si="3"/>
        <v>8.4734389107147215E-2</v>
      </c>
      <c r="H11" s="38">
        <v>9.8166036206430704E-2</v>
      </c>
      <c r="I11" s="38">
        <v>9.8166036206430704E-2</v>
      </c>
      <c r="J11" s="38">
        <v>9.8166036206430704E-2</v>
      </c>
      <c r="K11" s="38">
        <v>9.8166036206430704E-2</v>
      </c>
      <c r="L11" s="38">
        <v>9.8166036206430704E-2</v>
      </c>
      <c r="M11" s="39"/>
    </row>
    <row r="12" spans="2:17" x14ac:dyDescent="0.3">
      <c r="B12" s="31" t="s">
        <v>67</v>
      </c>
      <c r="C12" s="52">
        <f>C36/C35</f>
        <v>0.24527518570324555</v>
      </c>
      <c r="D12" s="52">
        <f t="shared" ref="D12:G12" si="4">D36/D35</f>
        <v>0.25381237985731581</v>
      </c>
      <c r="E12" s="52">
        <f t="shared" si="4"/>
        <v>0.20302565553388247</v>
      </c>
      <c r="F12" s="52">
        <f t="shared" si="4"/>
        <v>0.24087657716496688</v>
      </c>
      <c r="G12" s="52">
        <f t="shared" si="4"/>
        <v>0.23048213513920104</v>
      </c>
      <c r="H12" s="38">
        <v>0.24087657716496688</v>
      </c>
      <c r="I12" s="38">
        <v>0.24087657716496688</v>
      </c>
      <c r="J12" s="38">
        <v>0.24087657716496688</v>
      </c>
      <c r="K12" s="38">
        <v>0.24087657716496688</v>
      </c>
      <c r="L12" s="38">
        <v>0.24087657716496688</v>
      </c>
      <c r="M12" s="39"/>
    </row>
    <row r="13" spans="2:17" x14ac:dyDescent="0.3">
      <c r="B13" s="31" t="s">
        <v>77</v>
      </c>
      <c r="C13" s="52">
        <f>-C75/C24</f>
        <v>8.4040713977432846E-2</v>
      </c>
      <c r="D13" s="52">
        <f>-D75/D24</f>
        <v>7.7801491270575826E-2</v>
      </c>
      <c r="E13" s="52">
        <f>-E75/E24</f>
        <v>5.1634517254612329E-2</v>
      </c>
      <c r="F13" s="52">
        <f>-F75/F24</f>
        <v>5.3771665935206617E-2</v>
      </c>
      <c r="G13" s="52">
        <f>-G75/G24</f>
        <v>5.7666988723517699E-2</v>
      </c>
      <c r="H13" s="38">
        <v>5.7666988723517699E-2</v>
      </c>
      <c r="I13" s="38">
        <v>5.7666988723517699E-2</v>
      </c>
      <c r="J13" s="38">
        <v>5.7666988723517699E-2</v>
      </c>
      <c r="K13" s="38">
        <v>5.7666988723517699E-2</v>
      </c>
      <c r="L13" s="38">
        <v>5.7666988723517699E-2</v>
      </c>
    </row>
    <row r="14" spans="2:17" x14ac:dyDescent="0.3">
      <c r="B14" s="31" t="s">
        <v>78</v>
      </c>
      <c r="C14" s="52">
        <f>C45/C24</f>
        <v>4.4676606859279648E-2</v>
      </c>
      <c r="D14" s="52">
        <f t="shared" ref="D14:G14" si="5">D45/D24</f>
        <v>3.7008974934683872E-2</v>
      </c>
      <c r="E14" s="52">
        <f t="shared" si="5"/>
        <v>3.2279509873584133E-2</v>
      </c>
      <c r="F14" s="52">
        <f t="shared" si="5"/>
        <v>3.7065236588438834E-2</v>
      </c>
      <c r="G14" s="52">
        <f t="shared" si="5"/>
        <v>3.4795785912778467E-2</v>
      </c>
      <c r="H14" s="38">
        <v>3.5000000000000003E-2</v>
      </c>
      <c r="I14" s="38">
        <v>3.5000000000000003E-2</v>
      </c>
      <c r="J14" s="38">
        <v>3.5000000000000003E-2</v>
      </c>
      <c r="K14" s="38">
        <v>3.5000000000000003E-2</v>
      </c>
      <c r="L14" s="38">
        <v>3.5000000000000003E-2</v>
      </c>
    </row>
    <row r="15" spans="2:17" x14ac:dyDescent="0.3">
      <c r="B15" s="31" t="s">
        <v>69</v>
      </c>
      <c r="C15" s="52">
        <f>C49/C48</f>
        <v>0.14547283415135259</v>
      </c>
      <c r="D15" s="52">
        <f t="shared" ref="D15:G15" si="6">D49/D48</f>
        <v>0.1219586998732184</v>
      </c>
      <c r="E15" s="52">
        <f t="shared" si="6"/>
        <v>7.3115070967013737E-2</v>
      </c>
      <c r="F15" s="52">
        <f t="shared" si="6"/>
        <v>6.9714498695490124E-2</v>
      </c>
      <c r="G15" s="52">
        <f t="shared" si="6"/>
        <v>6.7834061232372761E-2</v>
      </c>
      <c r="H15" s="38">
        <v>6.8000000000000005E-2</v>
      </c>
      <c r="I15" s="38">
        <v>6.8000000000000005E-2</v>
      </c>
      <c r="J15" s="38">
        <v>6.8000000000000005E-2</v>
      </c>
      <c r="K15" s="38">
        <v>6.8000000000000005E-2</v>
      </c>
      <c r="L15" s="38">
        <v>6.8000000000000005E-2</v>
      </c>
    </row>
    <row r="16" spans="2:17" x14ac:dyDescent="0.3">
      <c r="B16" s="31" t="s">
        <v>79</v>
      </c>
      <c r="C16" s="52">
        <f>C51/C24</f>
        <v>7.8128870159789185E-2</v>
      </c>
      <c r="D16" s="52">
        <f t="shared" ref="D16:G16" si="7">D51/D24</f>
        <v>6.3517976825486114E-2</v>
      </c>
      <c r="E16" s="52">
        <f t="shared" si="7"/>
        <v>2.3779656000201706E-2</v>
      </c>
      <c r="F16" s="52">
        <f t="shared" si="7"/>
        <v>3.9058391382514629E-2</v>
      </c>
      <c r="G16" s="52">
        <f t="shared" si="7"/>
        <v>2.4383381866486521E-2</v>
      </c>
      <c r="H16" s="38">
        <v>2.9000000000000001E-2</v>
      </c>
      <c r="I16" s="38">
        <v>2.9000000000000001E-2</v>
      </c>
      <c r="J16" s="38">
        <v>2.9000000000000001E-2</v>
      </c>
      <c r="K16" s="38">
        <v>2.9000000000000001E-2</v>
      </c>
      <c r="L16" s="38">
        <v>2.9000000000000001E-2</v>
      </c>
      <c r="M16" s="39"/>
    </row>
    <row r="17" spans="2:13" x14ac:dyDescent="0.3">
      <c r="B17" s="41" t="s">
        <v>80</v>
      </c>
      <c r="C17" s="52">
        <f>C54/C24</f>
        <v>1.8050735905059258E-3</v>
      </c>
      <c r="D17" s="52">
        <f t="shared" ref="D17:G17" si="8">D54/D24</f>
        <v>2.1593949174642394E-3</v>
      </c>
      <c r="E17" s="52">
        <f t="shared" si="8"/>
        <v>1.4509952950030299E-3</v>
      </c>
      <c r="F17" s="52">
        <f t="shared" si="8"/>
        <v>3.2757202715636489E-3</v>
      </c>
      <c r="G17" s="52">
        <f t="shared" si="8"/>
        <v>2.5908869984778808E-3</v>
      </c>
      <c r="H17" s="38">
        <v>2.2564142146029448E-3</v>
      </c>
      <c r="I17" s="38">
        <v>2.2564142146029448E-3</v>
      </c>
      <c r="J17" s="38">
        <v>2.2564142146029448E-3</v>
      </c>
      <c r="K17" s="38">
        <v>2.2564142146029448E-3</v>
      </c>
      <c r="L17" s="38">
        <v>2.2564142146029448E-3</v>
      </c>
      <c r="M17" s="42"/>
    </row>
    <row r="18" spans="2:13" x14ac:dyDescent="0.3">
      <c r="B18" s="41" t="s">
        <v>81</v>
      </c>
      <c r="C18" s="52">
        <f>C55/C24</f>
        <v>9.3123241213002833E-2</v>
      </c>
      <c r="D18" s="52">
        <f t="shared" ref="D18:G18" si="9">D55/D24</f>
        <v>8.8540679688032156E-2</v>
      </c>
      <c r="E18" s="52">
        <f t="shared" si="9"/>
        <v>7.5712262217445744E-2</v>
      </c>
      <c r="F18" s="52">
        <f t="shared" si="9"/>
        <v>7.7326254611496267E-2</v>
      </c>
      <c r="G18" s="52">
        <f t="shared" si="9"/>
        <v>8.4982070671122109E-2</v>
      </c>
      <c r="H18" s="38">
        <v>8.3936901680219833E-2</v>
      </c>
      <c r="I18" s="38">
        <v>8.3936901680219833E-2</v>
      </c>
      <c r="J18" s="38">
        <v>8.3936901680219833E-2</v>
      </c>
      <c r="K18" s="38">
        <v>8.3936901680219833E-2</v>
      </c>
      <c r="L18" s="38">
        <v>8.3936901680219833E-2</v>
      </c>
    </row>
    <row r="19" spans="2:13" x14ac:dyDescent="0.3">
      <c r="B19" s="41" t="s">
        <v>82</v>
      </c>
      <c r="C19" s="52">
        <f>C56/C24</f>
        <v>5.9875591577869577E-2</v>
      </c>
      <c r="D19" s="52">
        <f t="shared" ref="D19:G19" si="10">D56/D24</f>
        <v>9.6389913956715888E-3</v>
      </c>
      <c r="E19" s="52">
        <f t="shared" si="10"/>
        <v>3.2874520653340046E-2</v>
      </c>
      <c r="F19" s="52">
        <f t="shared" si="10"/>
        <v>1.2565361320589585E-2</v>
      </c>
      <c r="G19" s="52">
        <f t="shared" si="10"/>
        <v>6.0345648147134209E-3</v>
      </c>
      <c r="H19" s="38">
        <v>1.2E-2</v>
      </c>
      <c r="I19" s="38">
        <v>1.2E-2</v>
      </c>
      <c r="J19" s="38">
        <v>1.2E-2</v>
      </c>
      <c r="K19" s="38">
        <v>1.2E-2</v>
      </c>
      <c r="L19" s="38">
        <v>1.2E-2</v>
      </c>
    </row>
    <row r="20" spans="2:13" x14ac:dyDescent="0.3">
      <c r="B20" s="31" t="s">
        <v>83</v>
      </c>
      <c r="C20" s="52">
        <f>-C93/C24</f>
        <v>4.0591374912707836E-3</v>
      </c>
      <c r="D20" s="52">
        <f t="shared" ref="D20:G20" si="11">-D93/D24</f>
        <v>4.0353470576024808E-3</v>
      </c>
      <c r="E20" s="52">
        <f t="shared" si="11"/>
        <v>3.5714652531445238E-3</v>
      </c>
      <c r="F20" s="52">
        <f t="shared" si="11"/>
        <v>3.229056467731192E-3</v>
      </c>
      <c r="G20" s="52">
        <f t="shared" si="11"/>
        <v>3.20091377664866E-3</v>
      </c>
      <c r="H20" s="38">
        <v>3.6191840092795282E-3</v>
      </c>
      <c r="I20" s="38">
        <v>3.6191840092795282E-3</v>
      </c>
      <c r="J20" s="38">
        <v>3.6191840092795282E-3</v>
      </c>
      <c r="K20" s="38">
        <v>3.6191840092795282E-3</v>
      </c>
      <c r="L20" s="38">
        <v>3.6191840092795282E-3</v>
      </c>
    </row>
    <row r="21" spans="2:13" x14ac:dyDescent="0.3">
      <c r="C21" s="39"/>
      <c r="D21" s="39"/>
      <c r="E21" s="39"/>
      <c r="F21" s="39"/>
      <c r="G21" s="39"/>
    </row>
    <row r="22" spans="2:13" ht="18.600000000000001" thickBot="1" x14ac:dyDescent="0.4">
      <c r="B22" s="35" t="s">
        <v>19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2:13" ht="4.95" customHeight="1" x14ac:dyDescent="0.3"/>
    <row r="24" spans="2:13" x14ac:dyDescent="0.3">
      <c r="B24" s="31" t="s">
        <v>71</v>
      </c>
      <c r="C24" s="43">
        <v>24143.06</v>
      </c>
      <c r="D24" s="43">
        <v>30976.27</v>
      </c>
      <c r="E24" s="43">
        <v>42839.56</v>
      </c>
      <c r="F24" s="43">
        <v>50788.83</v>
      </c>
      <c r="G24" s="43">
        <v>59358.05</v>
      </c>
      <c r="H24" s="54">
        <f>G24*(1+H7)</f>
        <v>71825.869331674068</v>
      </c>
      <c r="I24" s="54">
        <f>H24*(1+I7)</f>
        <v>86912.482894076151</v>
      </c>
      <c r="J24" s="54">
        <f>I24*(1+J7)</f>
        <v>105167.95345603958</v>
      </c>
      <c r="K24" s="54">
        <f>J24*(1+K7)</f>
        <v>127257.8813288691</v>
      </c>
      <c r="L24" s="54">
        <f>K24*(1+L7)</f>
        <v>153987.67236715215</v>
      </c>
    </row>
    <row r="25" spans="2:13" x14ac:dyDescent="0.3">
      <c r="B25" s="31" t="s">
        <v>17</v>
      </c>
      <c r="C25" s="43">
        <v>22012.890000000003</v>
      </c>
      <c r="D25" s="43">
        <v>28028.46</v>
      </c>
      <c r="E25" s="43">
        <v>38563.29</v>
      </c>
      <c r="F25" s="43">
        <v>45882.38</v>
      </c>
      <c r="G25" s="43">
        <v>53918.770000000004</v>
      </c>
      <c r="H25" s="54">
        <f>H24*H8</f>
        <v>64938.903513873389</v>
      </c>
      <c r="I25" s="54">
        <f>I24*I8</f>
        <v>78578.949246642354</v>
      </c>
      <c r="J25" s="54">
        <f>J24*J8</f>
        <v>95084.00866958368</v>
      </c>
      <c r="K25" s="54">
        <f>K24*K8</f>
        <v>115055.86154250824</v>
      </c>
      <c r="L25" s="54">
        <f>L24*L8</f>
        <v>139222.68802623029</v>
      </c>
    </row>
    <row r="26" spans="2:13" ht="15" thickBot="1" x14ac:dyDescent="0.35">
      <c r="B26" s="45" t="s">
        <v>11</v>
      </c>
      <c r="C26" s="53">
        <f>C24-C25</f>
        <v>2130.1699999999983</v>
      </c>
      <c r="D26" s="53">
        <f>D24-D25</f>
        <v>2947.8100000000013</v>
      </c>
      <c r="E26" s="53">
        <f>E24-E25</f>
        <v>4276.2699999999968</v>
      </c>
      <c r="F26" s="53">
        <f>F24-F25</f>
        <v>4906.4500000000044</v>
      </c>
      <c r="G26" s="53">
        <f>G24-G25</f>
        <v>5439.2799999999988</v>
      </c>
      <c r="H26" s="53">
        <f t="shared" ref="H26:L26" si="12">H24-H25</f>
        <v>6886.9658178006794</v>
      </c>
      <c r="I26" s="53">
        <f t="shared" si="12"/>
        <v>8333.5336474337964</v>
      </c>
      <c r="J26" s="53">
        <f t="shared" si="12"/>
        <v>10083.944786455904</v>
      </c>
      <c r="K26" s="53">
        <f t="shared" si="12"/>
        <v>12202.019786360863</v>
      </c>
      <c r="L26" s="53">
        <f t="shared" si="12"/>
        <v>14764.984340921859</v>
      </c>
    </row>
    <row r="27" spans="2:13" x14ac:dyDescent="0.3">
      <c r="C27" s="42"/>
      <c r="D27" s="46"/>
      <c r="E27" s="46"/>
      <c r="F27" s="46"/>
      <c r="G27" s="46"/>
    </row>
    <row r="28" spans="2:13" x14ac:dyDescent="0.3">
      <c r="B28" s="31" t="s">
        <v>12</v>
      </c>
      <c r="C28" s="43">
        <v>108.69</v>
      </c>
      <c r="D28" s="43">
        <v>143.41</v>
      </c>
      <c r="E28" s="43">
        <v>212.04</v>
      </c>
      <c r="F28" s="43">
        <v>274.43</v>
      </c>
      <c r="G28" s="43">
        <v>312.48</v>
      </c>
      <c r="H28" s="54">
        <f>H24*H9</f>
        <v>359.12934665837037</v>
      </c>
      <c r="I28" s="54">
        <f>I24*I9</f>
        <v>434.56241447038076</v>
      </c>
      <c r="J28" s="54">
        <f>J24*J9</f>
        <v>525.83976728019798</v>
      </c>
      <c r="K28" s="54">
        <f>K24*K9</f>
        <v>636.28940664434549</v>
      </c>
      <c r="L28" s="54">
        <f>L24*L9</f>
        <v>769.9383618357607</v>
      </c>
    </row>
    <row r="29" spans="2:13" ht="15" thickBot="1" x14ac:dyDescent="0.35">
      <c r="B29" s="45" t="s">
        <v>13</v>
      </c>
      <c r="C29" s="53">
        <f>C26-C28</f>
        <v>2021.4799999999982</v>
      </c>
      <c r="D29" s="53">
        <f t="shared" ref="D29:L29" si="13">D26-D28</f>
        <v>2804.4000000000015</v>
      </c>
      <c r="E29" s="53">
        <f t="shared" si="13"/>
        <v>4064.2299999999968</v>
      </c>
      <c r="F29" s="53">
        <f t="shared" si="13"/>
        <v>4632.0200000000041</v>
      </c>
      <c r="G29" s="53">
        <f t="shared" si="13"/>
        <v>5126.7999999999993</v>
      </c>
      <c r="H29" s="53">
        <f t="shared" si="13"/>
        <v>6527.8364711423092</v>
      </c>
      <c r="I29" s="53">
        <f t="shared" si="13"/>
        <v>7898.9712329634158</v>
      </c>
      <c r="J29" s="53">
        <f t="shared" si="13"/>
        <v>9558.1050191757058</v>
      </c>
      <c r="K29" s="53">
        <f t="shared" si="13"/>
        <v>11565.730379716517</v>
      </c>
      <c r="L29" s="53">
        <f t="shared" si="13"/>
        <v>13995.045979086099</v>
      </c>
    </row>
    <row r="30" spans="2:13" x14ac:dyDescent="0.3">
      <c r="C30" s="46"/>
      <c r="D30" s="46"/>
      <c r="E30" s="46"/>
      <c r="F30" s="46"/>
      <c r="G30" s="46"/>
    </row>
    <row r="31" spans="2:13" x14ac:dyDescent="0.3">
      <c r="B31" s="31" t="s">
        <v>0</v>
      </c>
      <c r="C31" s="43">
        <v>414.16</v>
      </c>
      <c r="D31" s="43">
        <v>498.08</v>
      </c>
      <c r="E31" s="43">
        <v>638.87</v>
      </c>
      <c r="F31" s="43">
        <v>730.76</v>
      </c>
      <c r="G31" s="43">
        <v>869.52</v>
      </c>
      <c r="H31" s="54">
        <f>-H75*H10</f>
        <v>1052.1577090432929</v>
      </c>
      <c r="I31" s="54">
        <f>-I75*I10</f>
        <v>1273.1574255902458</v>
      </c>
      <c r="J31" s="54">
        <f>-J75*J10</f>
        <v>1540.5768701818124</v>
      </c>
      <c r="K31" s="54">
        <f>-K75*K10</f>
        <v>1864.1662415304791</v>
      </c>
      <c r="L31" s="54">
        <f>-L75*L10</f>
        <v>2255.7237118922558</v>
      </c>
    </row>
    <row r="32" spans="2:13" ht="15" thickBot="1" x14ac:dyDescent="0.35">
      <c r="B32" s="45" t="s">
        <v>14</v>
      </c>
      <c r="C32" s="53">
        <f>C29-C31</f>
        <v>1607.3199999999981</v>
      </c>
      <c r="D32" s="53">
        <f t="shared" ref="D32:L32" si="14">D29-D31</f>
        <v>2306.3200000000015</v>
      </c>
      <c r="E32" s="53">
        <f t="shared" si="14"/>
        <v>3425.3599999999969</v>
      </c>
      <c r="F32" s="53">
        <f t="shared" si="14"/>
        <v>3901.2600000000039</v>
      </c>
      <c r="G32" s="53">
        <f t="shared" si="14"/>
        <v>4257.2799999999988</v>
      </c>
      <c r="H32" s="53">
        <f t="shared" si="14"/>
        <v>5475.6787620990162</v>
      </c>
      <c r="I32" s="53">
        <f t="shared" si="14"/>
        <v>6625.8138073731698</v>
      </c>
      <c r="J32" s="53">
        <f t="shared" si="14"/>
        <v>8017.5281489938934</v>
      </c>
      <c r="K32" s="53">
        <f t="shared" si="14"/>
        <v>9701.5641381860369</v>
      </c>
      <c r="L32" s="53">
        <f t="shared" si="14"/>
        <v>11739.322267193842</v>
      </c>
    </row>
    <row r="33" spans="2:22" x14ac:dyDescent="0.3">
      <c r="C33" s="46"/>
      <c r="D33" s="46"/>
      <c r="E33" s="46"/>
      <c r="F33" s="46"/>
      <c r="G33" s="46"/>
    </row>
    <row r="34" spans="2:22" x14ac:dyDescent="0.3">
      <c r="B34" s="31" t="s">
        <v>1</v>
      </c>
      <c r="C34" s="43">
        <v>41.65</v>
      </c>
      <c r="D34" s="43">
        <v>53.79</v>
      </c>
      <c r="E34" s="43">
        <v>67.41</v>
      </c>
      <c r="F34" s="43">
        <v>58.13</v>
      </c>
      <c r="G34" s="43">
        <v>69.45</v>
      </c>
      <c r="H34" s="54">
        <f ca="1">N44*H11</f>
        <v>125.861352464658</v>
      </c>
      <c r="I34" s="54">
        <f ca="1">O44*I11</f>
        <v>195.94703151685098</v>
      </c>
      <c r="J34" s="54">
        <f ca="1">P44*J11</f>
        <v>251.01628839271208</v>
      </c>
      <c r="K34" s="54">
        <f ca="1">Q44*K11</f>
        <v>318.72935261940324</v>
      </c>
      <c r="L34" s="54">
        <f ca="1">R44*L11</f>
        <v>401.82533447195613</v>
      </c>
    </row>
    <row r="35" spans="2:22" x14ac:dyDescent="0.3">
      <c r="B35" s="31" t="s">
        <v>15</v>
      </c>
      <c r="C35" s="54">
        <f>C32-C34</f>
        <v>1565.669999999998</v>
      </c>
      <c r="D35" s="54">
        <f>D32-D34</f>
        <v>2252.5300000000016</v>
      </c>
      <c r="E35" s="54">
        <f>E32-E34</f>
        <v>3357.9499999999971</v>
      </c>
      <c r="F35" s="54">
        <f>F32-F34</f>
        <v>3843.1300000000037</v>
      </c>
      <c r="G35" s="54">
        <f>G32-G34</f>
        <v>4187.829999999999</v>
      </c>
      <c r="H35" s="54">
        <f t="shared" ref="H35:L35" ca="1" si="15">H32-H34</f>
        <v>5349.8174096343582</v>
      </c>
      <c r="I35" s="54">
        <f t="shared" ca="1" si="15"/>
        <v>6429.8667758563188</v>
      </c>
      <c r="J35" s="54">
        <f t="shared" ca="1" si="15"/>
        <v>7766.5118606011811</v>
      </c>
      <c r="K35" s="54">
        <f t="shared" ca="1" si="15"/>
        <v>9382.8347855666343</v>
      </c>
      <c r="L35" s="54">
        <f t="shared" ca="1" si="15"/>
        <v>11337.496932721886</v>
      </c>
    </row>
    <row r="36" spans="2:22" x14ac:dyDescent="0.3">
      <c r="B36" s="31" t="s">
        <v>2</v>
      </c>
      <c r="C36" s="43">
        <v>384.02</v>
      </c>
      <c r="D36" s="43">
        <v>571.72</v>
      </c>
      <c r="E36" s="43">
        <v>681.75</v>
      </c>
      <c r="F36" s="43">
        <v>925.72</v>
      </c>
      <c r="G36" s="43">
        <v>965.22</v>
      </c>
      <c r="H36" s="54">
        <f ca="1">H35*H12</f>
        <v>1288.6457060902737</v>
      </c>
      <c r="I36" s="54">
        <f ca="1">I35*I12</f>
        <v>1548.8043005950115</v>
      </c>
      <c r="J36" s="54">
        <f ca="1">J35*J12</f>
        <v>1870.7707934927309</v>
      </c>
      <c r="K36" s="54">
        <f ca="1">K35*K12</f>
        <v>2260.105127251677</v>
      </c>
      <c r="L36" s="54">
        <f ca="1">L35*L12</f>
        <v>2730.9374547723587</v>
      </c>
    </row>
    <row r="37" spans="2:22" ht="15" thickBot="1" x14ac:dyDescent="0.35">
      <c r="B37" s="45" t="s">
        <v>16</v>
      </c>
      <c r="C37" s="53">
        <f>C35-C36</f>
        <v>1181.649999999998</v>
      </c>
      <c r="D37" s="53">
        <f t="shared" ref="D37:L37" si="16">D35-D36</f>
        <v>1680.8100000000015</v>
      </c>
      <c r="E37" s="53">
        <f t="shared" si="16"/>
        <v>2676.1999999999971</v>
      </c>
      <c r="F37" s="53">
        <f t="shared" si="16"/>
        <v>2917.4100000000035</v>
      </c>
      <c r="G37" s="53">
        <f t="shared" si="16"/>
        <v>3222.6099999999988</v>
      </c>
      <c r="H37" s="53">
        <f t="shared" ca="1" si="16"/>
        <v>4061.1717035440843</v>
      </c>
      <c r="I37" s="53">
        <f t="shared" ca="1" si="16"/>
        <v>4881.0624752613076</v>
      </c>
      <c r="J37" s="53">
        <f t="shared" ca="1" si="16"/>
        <v>5895.7410671084499</v>
      </c>
      <c r="K37" s="53">
        <f t="shared" ca="1" si="16"/>
        <v>7122.7296583149573</v>
      </c>
      <c r="L37" s="53">
        <f t="shared" ca="1" si="16"/>
        <v>8606.5594779495277</v>
      </c>
    </row>
    <row r="38" spans="2:22" x14ac:dyDescent="0.3">
      <c r="C38" s="46"/>
      <c r="D38" s="46"/>
      <c r="E38" s="46"/>
      <c r="F38" s="46"/>
      <c r="G38" s="46"/>
    </row>
    <row r="39" spans="2:22" ht="18.600000000000001" thickBot="1" x14ac:dyDescent="0.4">
      <c r="B39" s="35" t="s">
        <v>20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2:22" ht="4.95" customHeight="1" x14ac:dyDescent="0.3"/>
    <row r="41" spans="2:22" ht="15" thickBot="1" x14ac:dyDescent="0.35">
      <c r="B41" s="45" t="s">
        <v>25</v>
      </c>
      <c r="C41" s="53">
        <f>SUM(C42:C45)</f>
        <v>13655.05</v>
      </c>
      <c r="D41" s="53">
        <f t="shared" ref="D41:F41" si="17">SUM(D42:D45)</f>
        <v>15470.980000000001</v>
      </c>
      <c r="E41" s="53">
        <f t="shared" si="17"/>
        <v>18104.52</v>
      </c>
      <c r="F41" s="53">
        <f t="shared" si="17"/>
        <v>21172.48</v>
      </c>
      <c r="G41" s="53">
        <f>SUM(G42:G45)</f>
        <v>24312.78</v>
      </c>
      <c r="H41" s="53">
        <f ca="1">SUM(H42:H45)</f>
        <v>29747.461679454995</v>
      </c>
      <c r="I41" s="53">
        <f t="shared" ref="I41:L41" ca="1" si="18">SUM(I42:I45)</f>
        <v>35659.441844162968</v>
      </c>
      <c r="J41" s="53">
        <f t="shared" ca="1" si="18"/>
        <v>42813.199671479801</v>
      </c>
      <c r="K41" s="53">
        <f t="shared" ca="1" si="18"/>
        <v>51469.56346603336</v>
      </c>
      <c r="L41" s="53">
        <f t="shared" ca="1" si="18"/>
        <v>61944.14702790977</v>
      </c>
    </row>
    <row r="42" spans="2:22" x14ac:dyDescent="0.3">
      <c r="B42" s="47" t="s">
        <v>21</v>
      </c>
      <c r="C42" s="43">
        <v>647.77</v>
      </c>
      <c r="D42" s="43">
        <v>647.77</v>
      </c>
      <c r="E42" s="43">
        <v>648.26</v>
      </c>
      <c r="F42" s="43">
        <v>650.73</v>
      </c>
      <c r="G42" s="43">
        <v>650.73</v>
      </c>
      <c r="H42" s="54">
        <f>G42</f>
        <v>650.73</v>
      </c>
      <c r="I42" s="54">
        <f t="shared" ref="I42:L42" si="19">H42</f>
        <v>650.73</v>
      </c>
      <c r="J42" s="54">
        <f t="shared" si="19"/>
        <v>650.73</v>
      </c>
      <c r="K42" s="54">
        <f t="shared" si="19"/>
        <v>650.73</v>
      </c>
      <c r="L42" s="54">
        <f t="shared" si="19"/>
        <v>650.73</v>
      </c>
    </row>
    <row r="43" spans="2:22" x14ac:dyDescent="0.3">
      <c r="B43" s="47" t="s">
        <v>22</v>
      </c>
      <c r="C43" s="43">
        <v>11535.94</v>
      </c>
      <c r="D43" s="43">
        <v>13029.87</v>
      </c>
      <c r="E43" s="43">
        <v>15430.44</v>
      </c>
      <c r="F43" s="43">
        <v>18047.09</v>
      </c>
      <c r="G43" s="43">
        <v>20777.02</v>
      </c>
      <c r="H43" s="54">
        <f ca="1">G43+H37</f>
        <v>24838.191703544086</v>
      </c>
      <c r="I43" s="54">
        <f t="shared" ref="I43:L43" ca="1" si="20">H43+I37</f>
        <v>29719.254178805393</v>
      </c>
      <c r="J43" s="54">
        <f t="shared" ca="1" si="20"/>
        <v>35614.995245913844</v>
      </c>
      <c r="K43" s="54">
        <f t="shared" ca="1" si="20"/>
        <v>42737.724904228802</v>
      </c>
      <c r="L43" s="54">
        <f t="shared" ca="1" si="20"/>
        <v>51344.284382178332</v>
      </c>
      <c r="N43" s="48" t="s">
        <v>68</v>
      </c>
      <c r="O43" s="48"/>
      <c r="P43" s="48"/>
      <c r="Q43" s="48"/>
      <c r="R43" s="48"/>
    </row>
    <row r="44" spans="2:22" x14ac:dyDescent="0.3">
      <c r="B44" s="47" t="s">
        <v>23</v>
      </c>
      <c r="C44" s="43">
        <v>392.71</v>
      </c>
      <c r="D44" s="43">
        <v>646.94000000000005</v>
      </c>
      <c r="E44" s="43">
        <v>642.98</v>
      </c>
      <c r="F44" s="43">
        <v>592.16</v>
      </c>
      <c r="G44" s="43">
        <v>819.62</v>
      </c>
      <c r="H44" s="54">
        <f ca="1">H58-(H42+H43+H45)</f>
        <v>1744.6345493023182</v>
      </c>
      <c r="I44" s="54">
        <f t="shared" ref="I44:L44" ca="1" si="21">I58-(I42+I43+I45)</f>
        <v>2247.5207640649096</v>
      </c>
      <c r="J44" s="54">
        <f t="shared" ca="1" si="21"/>
        <v>2866.5960546045681</v>
      </c>
      <c r="K44" s="54">
        <f t="shared" ca="1" si="21"/>
        <v>3627.0827152941347</v>
      </c>
      <c r="L44" s="54">
        <f t="shared" ca="1" si="21"/>
        <v>4559.5641128811112</v>
      </c>
      <c r="M44" s="49"/>
      <c r="N44" s="56">
        <f ca="1">(G44+H44)/2</f>
        <v>1282.127274651159</v>
      </c>
      <c r="O44" s="56">
        <f ca="1">(H44+I44)/2</f>
        <v>1996.0776566836139</v>
      </c>
      <c r="P44" s="56">
        <f ca="1">(I44+J44)/2</f>
        <v>2557.0584093347388</v>
      </c>
      <c r="Q44" s="56">
        <f ca="1">(J44+K44)/2</f>
        <v>3246.8393849493514</v>
      </c>
      <c r="R44" s="56">
        <f ca="1">(K44+L44)/2</f>
        <v>4093.323414087623</v>
      </c>
      <c r="S44" s="40"/>
      <c r="T44" s="40"/>
      <c r="U44" s="40"/>
      <c r="V44" s="40"/>
    </row>
    <row r="45" spans="2:22" x14ac:dyDescent="0.3">
      <c r="B45" s="47" t="s">
        <v>24</v>
      </c>
      <c r="C45" s="43">
        <v>1078.6300000000001</v>
      </c>
      <c r="D45" s="43">
        <v>1146.4000000000001</v>
      </c>
      <c r="E45" s="43">
        <v>1382.84</v>
      </c>
      <c r="F45" s="43">
        <v>1882.5</v>
      </c>
      <c r="G45" s="43">
        <v>2065.41</v>
      </c>
      <c r="H45" s="54">
        <f>H24*H14</f>
        <v>2513.9054266085927</v>
      </c>
      <c r="I45" s="54">
        <f t="shared" ref="I45:L45" si="22">I24*I14</f>
        <v>3041.9369012926654</v>
      </c>
      <c r="J45" s="54">
        <f t="shared" si="22"/>
        <v>3680.8783709613858</v>
      </c>
      <c r="K45" s="54">
        <f t="shared" si="22"/>
        <v>4454.0258465104189</v>
      </c>
      <c r="L45" s="54">
        <f t="shared" si="22"/>
        <v>5389.5685328503259</v>
      </c>
    </row>
    <row r="46" spans="2:22" x14ac:dyDescent="0.3">
      <c r="C46" s="46"/>
      <c r="D46" s="46"/>
      <c r="E46" s="46"/>
      <c r="F46" s="46"/>
      <c r="G46" s="46"/>
    </row>
    <row r="47" spans="2:22" ht="15" thickBot="1" x14ac:dyDescent="0.35">
      <c r="B47" s="45" t="s">
        <v>27</v>
      </c>
      <c r="C47" s="53">
        <f>SUM(C48:C51)</f>
        <v>9917.61</v>
      </c>
      <c r="D47" s="53">
        <f t="shared" ref="D47:L47" si="23">SUM(D48:D51)</f>
        <v>12362.850000000002</v>
      </c>
      <c r="E47" s="53">
        <f t="shared" si="23"/>
        <v>13390.550000000001</v>
      </c>
      <c r="F47" s="53">
        <f t="shared" si="23"/>
        <v>16440.62</v>
      </c>
      <c r="G47" s="53">
        <f t="shared" si="23"/>
        <v>18756.419999999998</v>
      </c>
      <c r="H47" s="53">
        <f t="shared" si="23"/>
        <v>22694.641402749658</v>
      </c>
      <c r="I47" s="53">
        <f t="shared" si="23"/>
        <v>27125.216956141569</v>
      </c>
      <c r="J47" s="53">
        <f t="shared" si="23"/>
        <v>32486.409595758891</v>
      </c>
      <c r="K47" s="53">
        <f t="shared" si="23"/>
        <v>38973.690124601846</v>
      </c>
      <c r="L47" s="53">
        <f t="shared" si="23"/>
        <v>46823.58687125353</v>
      </c>
    </row>
    <row r="48" spans="2:22" x14ac:dyDescent="0.3">
      <c r="B48" s="47" t="s">
        <v>3</v>
      </c>
      <c r="C48" s="43">
        <v>7008.8</v>
      </c>
      <c r="D48" s="43">
        <v>9260.02</v>
      </c>
      <c r="E48" s="43">
        <v>11340.48</v>
      </c>
      <c r="F48" s="43">
        <v>13415</v>
      </c>
      <c r="G48" s="43">
        <v>16206.46</v>
      </c>
      <c r="H48" s="54">
        <f>G48-H75-H31</f>
        <v>19296.283887763209</v>
      </c>
      <c r="I48" s="54">
        <f t="shared" ref="I48:L48" si="24">H48-I75-I31</f>
        <v>23035.107633158579</v>
      </c>
      <c r="J48" s="54">
        <f t="shared" si="24"/>
        <v>27559.249949001634</v>
      </c>
      <c r="K48" s="54">
        <f t="shared" si="24"/>
        <v>33033.662515041804</v>
      </c>
      <c r="L48" s="54">
        <f t="shared" si="24"/>
        <v>39657.94416910685</v>
      </c>
    </row>
    <row r="49" spans="2:17" x14ac:dyDescent="0.3">
      <c r="B49" s="47" t="s">
        <v>4</v>
      </c>
      <c r="C49" s="43">
        <v>1019.59</v>
      </c>
      <c r="D49" s="43">
        <v>1129.3399999999999</v>
      </c>
      <c r="E49" s="43">
        <v>829.16</v>
      </c>
      <c r="F49" s="43">
        <v>935.22</v>
      </c>
      <c r="G49" s="43">
        <v>1099.3499999999999</v>
      </c>
      <c r="H49" s="54">
        <f>H48*H15</f>
        <v>1312.1473043678984</v>
      </c>
      <c r="I49" s="54">
        <f t="shared" ref="I49:L49" si="25">I48*I15</f>
        <v>1566.3873190547836</v>
      </c>
      <c r="J49" s="54">
        <f t="shared" si="25"/>
        <v>1874.0289965321113</v>
      </c>
      <c r="K49" s="54">
        <f t="shared" si="25"/>
        <v>2246.2890510228426</v>
      </c>
      <c r="L49" s="54">
        <f t="shared" si="25"/>
        <v>2696.740203499266</v>
      </c>
      <c r="N49" s="39"/>
      <c r="O49" s="39"/>
      <c r="P49" s="39"/>
    </row>
    <row r="50" spans="2:17" x14ac:dyDescent="0.3">
      <c r="B50" s="47" t="s">
        <v>26</v>
      </c>
      <c r="C50" s="43">
        <v>2.95</v>
      </c>
      <c r="D50" s="43">
        <v>5.94</v>
      </c>
      <c r="E50" s="43">
        <v>202.2</v>
      </c>
      <c r="F50" s="43">
        <v>106.67</v>
      </c>
      <c r="G50" s="43">
        <v>3.26</v>
      </c>
      <c r="H50" s="54">
        <f>G50</f>
        <v>3.26</v>
      </c>
      <c r="I50" s="54">
        <f t="shared" ref="I50:L50" si="26">H50</f>
        <v>3.26</v>
      </c>
      <c r="J50" s="54">
        <f t="shared" si="26"/>
        <v>3.26</v>
      </c>
      <c r="K50" s="54">
        <f t="shared" si="26"/>
        <v>3.26</v>
      </c>
      <c r="L50" s="54">
        <f t="shared" si="26"/>
        <v>3.26</v>
      </c>
      <c r="M50" s="39"/>
      <c r="N50" s="39"/>
      <c r="O50" s="39"/>
      <c r="P50" s="39"/>
      <c r="Q50" s="39"/>
    </row>
    <row r="51" spans="2:17" x14ac:dyDescent="0.3">
      <c r="B51" s="47" t="s">
        <v>8</v>
      </c>
      <c r="C51" s="43">
        <v>1886.27</v>
      </c>
      <c r="D51" s="43">
        <v>1967.5500000000006</v>
      </c>
      <c r="E51" s="43">
        <v>1018.7100000000009</v>
      </c>
      <c r="F51" s="43">
        <v>1983.7300000000005</v>
      </c>
      <c r="G51" s="43">
        <v>1447.3500000000004</v>
      </c>
      <c r="H51" s="54">
        <f>H24*H16</f>
        <v>2082.9502106185482</v>
      </c>
      <c r="I51" s="54">
        <f t="shared" ref="I51:L51" si="27">I24*I16</f>
        <v>2520.4620039282086</v>
      </c>
      <c r="J51" s="54">
        <f t="shared" si="27"/>
        <v>3049.870650225148</v>
      </c>
      <c r="K51" s="54">
        <f t="shared" si="27"/>
        <v>3690.4785585372042</v>
      </c>
      <c r="L51" s="54">
        <f t="shared" si="27"/>
        <v>4465.6424986474121</v>
      </c>
    </row>
    <row r="52" spans="2:17" x14ac:dyDescent="0.3">
      <c r="C52" s="46"/>
      <c r="D52" s="46"/>
      <c r="E52" s="46"/>
      <c r="F52" s="46"/>
      <c r="G52" s="46"/>
    </row>
    <row r="53" spans="2:17" ht="15" thickBot="1" x14ac:dyDescent="0.35">
      <c r="B53" s="45" t="s">
        <v>28</v>
      </c>
      <c r="C53" s="53">
        <f>SUM(C54:C56)</f>
        <v>3737.44</v>
      </c>
      <c r="D53" s="53">
        <f t="shared" ref="D53:K53" si="28">SUM(D54:D56)</f>
        <v>3108.1299999999997</v>
      </c>
      <c r="E53" s="53">
        <f t="shared" si="28"/>
        <v>4713.9699999999993</v>
      </c>
      <c r="F53" s="53">
        <f t="shared" si="28"/>
        <v>4731.8599999999997</v>
      </c>
      <c r="G53" s="53">
        <f>SUM(G54:G56)</f>
        <v>5556.36</v>
      </c>
      <c r="H53" s="53">
        <f>SUM(H54:H56)</f>
        <v>7052.8202767053353</v>
      </c>
      <c r="I53" s="53">
        <f t="shared" si="28"/>
        <v>8534.2248880213992</v>
      </c>
      <c r="J53" s="53">
        <f t="shared" si="28"/>
        <v>10326.790075720914</v>
      </c>
      <c r="K53" s="53">
        <f t="shared" si="28"/>
        <v>12495.873341431514</v>
      </c>
      <c r="L53" s="53">
        <f>SUM(L54:L56)</f>
        <v>15120.560156656242</v>
      </c>
    </row>
    <row r="54" spans="2:17" x14ac:dyDescent="0.3">
      <c r="B54" s="47" t="s">
        <v>9</v>
      </c>
      <c r="C54" s="43">
        <v>43.58</v>
      </c>
      <c r="D54" s="43">
        <v>66.89</v>
      </c>
      <c r="E54" s="43">
        <v>62.16</v>
      </c>
      <c r="F54" s="43">
        <v>166.37</v>
      </c>
      <c r="G54" s="43">
        <v>153.79</v>
      </c>
      <c r="H54" s="54">
        <f>H$24*H17</f>
        <v>162.06891253620307</v>
      </c>
      <c r="I54" s="54">
        <f>I$24*I17</f>
        <v>196.1105618286287</v>
      </c>
      <c r="J54" s="54">
        <f>J$24*J17</f>
        <v>237.30246509890861</v>
      </c>
      <c r="K54" s="54">
        <f>K$24*K17</f>
        <v>287.14649235071494</v>
      </c>
      <c r="L54" s="54">
        <f>L$24*L17</f>
        <v>347.45997280286321</v>
      </c>
    </row>
    <row r="55" spans="2:17" x14ac:dyDescent="0.3">
      <c r="B55" s="47" t="s">
        <v>6</v>
      </c>
      <c r="C55" s="43">
        <v>2248.2800000000002</v>
      </c>
      <c r="D55" s="43">
        <v>2742.66</v>
      </c>
      <c r="E55" s="43">
        <v>3243.48</v>
      </c>
      <c r="F55" s="43">
        <v>3927.31</v>
      </c>
      <c r="G55" s="43">
        <v>5044.37</v>
      </c>
      <c r="H55" s="54">
        <f>H$24*H18</f>
        <v>6028.8409321890431</v>
      </c>
      <c r="I55" s="54">
        <f t="shared" ref="I55:L55" si="29">I$24*I18</f>
        <v>7295.1645314638581</v>
      </c>
      <c r="J55" s="54">
        <f t="shared" si="29"/>
        <v>8827.4721691495306</v>
      </c>
      <c r="K55" s="54">
        <f t="shared" si="29"/>
        <v>10681.63227313437</v>
      </c>
      <c r="L55" s="54">
        <f t="shared" si="29"/>
        <v>12925.248115447554</v>
      </c>
      <c r="N55" s="46"/>
    </row>
    <row r="56" spans="2:17" x14ac:dyDescent="0.3">
      <c r="B56" s="47" t="s">
        <v>10</v>
      </c>
      <c r="C56" s="43">
        <v>1445.58</v>
      </c>
      <c r="D56" s="43">
        <v>298.58</v>
      </c>
      <c r="E56" s="43">
        <v>1408.33</v>
      </c>
      <c r="F56" s="43">
        <v>638.17999999999995</v>
      </c>
      <c r="G56" s="43">
        <v>358.2</v>
      </c>
      <c r="H56" s="54">
        <f>H$24*H19</f>
        <v>861.91043198008879</v>
      </c>
      <c r="I56" s="54">
        <f>I$24*I19</f>
        <v>1042.9497947289137</v>
      </c>
      <c r="J56" s="54">
        <f>J$24*J19</f>
        <v>1262.015441472475</v>
      </c>
      <c r="K56" s="54">
        <f>K$24*K19</f>
        <v>1527.0945759464294</v>
      </c>
      <c r="L56" s="54">
        <f>L$24*L19</f>
        <v>1847.8520684058258</v>
      </c>
    </row>
    <row r="57" spans="2:17" x14ac:dyDescent="0.3"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2:17" ht="15" thickBot="1" x14ac:dyDescent="0.35">
      <c r="B58" s="45" t="s">
        <v>29</v>
      </c>
      <c r="C58" s="53">
        <f>C47+C53</f>
        <v>13655.050000000001</v>
      </c>
      <c r="D58" s="53">
        <f t="shared" ref="D58:F58" si="30">D47+D53</f>
        <v>15470.980000000001</v>
      </c>
      <c r="E58" s="53">
        <f t="shared" si="30"/>
        <v>18104.52</v>
      </c>
      <c r="F58" s="53">
        <f t="shared" si="30"/>
        <v>21172.48</v>
      </c>
      <c r="G58" s="53">
        <f>G47+G53</f>
        <v>24312.78</v>
      </c>
      <c r="H58" s="53">
        <f t="shared" ref="H58:L58" si="31">H47+H53</f>
        <v>29747.461679454995</v>
      </c>
      <c r="I58" s="53">
        <f t="shared" si="31"/>
        <v>35659.441844162968</v>
      </c>
      <c r="J58" s="53">
        <f t="shared" si="31"/>
        <v>42813.199671479801</v>
      </c>
      <c r="K58" s="53">
        <f t="shared" si="31"/>
        <v>51469.56346603336</v>
      </c>
      <c r="L58" s="53">
        <f t="shared" si="31"/>
        <v>61944.14702790977</v>
      </c>
    </row>
    <row r="59" spans="2:17" x14ac:dyDescent="0.3">
      <c r="B59" s="50" t="s">
        <v>30</v>
      </c>
      <c r="C59" s="55" t="str">
        <f>IF(C41=C58,"Match","Not-Match")</f>
        <v>Match</v>
      </c>
      <c r="D59" s="55" t="str">
        <f t="shared" ref="D59:F59" si="32">IF(D41=D58,"Match","Not-Match")</f>
        <v>Match</v>
      </c>
      <c r="E59" s="55" t="str">
        <f t="shared" si="32"/>
        <v>Match</v>
      </c>
      <c r="F59" s="55" t="str">
        <f t="shared" si="32"/>
        <v>Match</v>
      </c>
      <c r="G59" s="55" t="str">
        <f>IF(G41=G58,"Match","Not-Match")</f>
        <v>Match</v>
      </c>
      <c r="H59" s="55" t="str">
        <f t="shared" ref="H59:L59" ca="1" si="33">IF(H41=H58,"Match","Not-Match")</f>
        <v>Match</v>
      </c>
      <c r="I59" s="55" t="str">
        <f t="shared" ca="1" si="33"/>
        <v>Match</v>
      </c>
      <c r="J59" s="55" t="str">
        <f t="shared" ca="1" si="33"/>
        <v>Match</v>
      </c>
      <c r="K59" s="55" t="str">
        <f t="shared" ca="1" si="33"/>
        <v>Match</v>
      </c>
      <c r="L59" s="55" t="str">
        <f t="shared" ca="1" si="33"/>
        <v>Match</v>
      </c>
    </row>
    <row r="61" spans="2:17" ht="18.600000000000001" thickBot="1" x14ac:dyDescent="0.4">
      <c r="B61" s="35" t="s">
        <v>31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2:17" ht="4.95" customHeight="1" x14ac:dyDescent="0.3"/>
    <row r="63" spans="2:17" ht="15" thickBot="1" x14ac:dyDescent="0.35">
      <c r="B63" s="45" t="s">
        <v>58</v>
      </c>
      <c r="C63" s="53">
        <f>C64+C71+C72</f>
        <v>1375</v>
      </c>
      <c r="D63" s="53">
        <f t="shared" ref="D63:G63" si="34">D64+D71+D72</f>
        <v>1373</v>
      </c>
      <c r="E63" s="53">
        <f t="shared" si="34"/>
        <v>2630</v>
      </c>
      <c r="F63" s="53">
        <f>F64+F71+F72</f>
        <v>2745</v>
      </c>
      <c r="G63" s="53">
        <f t="shared" si="34"/>
        <v>2463</v>
      </c>
      <c r="H63" s="53">
        <f ca="1">H64+H71+H72</f>
        <v>4694.9363469353821</v>
      </c>
      <c r="I63" s="53">
        <f t="shared" ref="I63:K63" ca="1" si="35">I64+I71+I72</f>
        <v>5577.8331584852367</v>
      </c>
      <c r="J63" s="53">
        <f t="shared" ca="1" si="35"/>
        <v>6752.7761543957422</v>
      </c>
      <c r="K63" s="53">
        <f t="shared" ca="1" si="35"/>
        <v>8174.7685967772277</v>
      </c>
      <c r="L63" s="53">
        <f ca="1">L64+L71+L72</f>
        <v>9895.7218878883159</v>
      </c>
    </row>
    <row r="64" spans="2:17" x14ac:dyDescent="0.3">
      <c r="B64" s="47" t="s">
        <v>32</v>
      </c>
      <c r="C64" s="43">
        <v>1764</v>
      </c>
      <c r="D64" s="43">
        <v>2515</v>
      </c>
      <c r="E64" s="43">
        <v>3659</v>
      </c>
      <c r="F64" s="43">
        <v>4131</v>
      </c>
      <c r="G64" s="43">
        <v>4535</v>
      </c>
      <c r="H64" s="54">
        <f>H29</f>
        <v>6527.8364711423092</v>
      </c>
      <c r="I64" s="54">
        <f t="shared" ref="I64:L64" si="36">I29</f>
        <v>7898.9712329634158</v>
      </c>
      <c r="J64" s="54">
        <f t="shared" si="36"/>
        <v>9558.1050191757058</v>
      </c>
      <c r="K64" s="54">
        <f t="shared" si="36"/>
        <v>11565.730379716517</v>
      </c>
      <c r="L64" s="54">
        <f t="shared" si="36"/>
        <v>13995.045979086099</v>
      </c>
    </row>
    <row r="65" spans="2:18" x14ac:dyDescent="0.3">
      <c r="B65" s="47" t="s">
        <v>9</v>
      </c>
      <c r="C65" s="43">
        <v>-24</v>
      </c>
      <c r="D65" s="43">
        <v>-23</v>
      </c>
      <c r="E65" s="43">
        <v>5</v>
      </c>
      <c r="F65" s="43">
        <v>-104</v>
      </c>
      <c r="G65" s="43">
        <v>13</v>
      </c>
      <c r="H65" s="54">
        <f>-(H54-G54)</f>
        <v>-8.2789125362030802</v>
      </c>
      <c r="I65" s="54">
        <f t="shared" ref="I65:L65" si="37">-(I54-H54)</f>
        <v>-34.041649292425632</v>
      </c>
      <c r="J65" s="54">
        <f t="shared" si="37"/>
        <v>-41.191903270279909</v>
      </c>
      <c r="K65" s="54">
        <f t="shared" si="37"/>
        <v>-49.844027251806324</v>
      </c>
      <c r="L65" s="54">
        <f t="shared" si="37"/>
        <v>-60.313480452148269</v>
      </c>
    </row>
    <row r="66" spans="2:18" x14ac:dyDescent="0.3">
      <c r="B66" s="47" t="s">
        <v>6</v>
      </c>
      <c r="C66" s="43">
        <v>-301</v>
      </c>
      <c r="D66" s="43">
        <v>-494</v>
      </c>
      <c r="E66" s="43">
        <v>-501</v>
      </c>
      <c r="F66" s="43">
        <v>-684</v>
      </c>
      <c r="G66" s="43">
        <v>-1117</v>
      </c>
      <c r="H66" s="54">
        <f>-(H55-G55)</f>
        <v>-984.4709321890432</v>
      </c>
      <c r="I66" s="54">
        <f t="shared" ref="I66:L66" si="38">-(I55-H55)</f>
        <v>-1266.323599274815</v>
      </c>
      <c r="J66" s="54">
        <f t="shared" si="38"/>
        <v>-1532.3076376856725</v>
      </c>
      <c r="K66" s="54">
        <f t="shared" si="38"/>
        <v>-1854.1601039848392</v>
      </c>
      <c r="L66" s="54">
        <f t="shared" si="38"/>
        <v>-2243.6158423131837</v>
      </c>
    </row>
    <row r="67" spans="2:18" x14ac:dyDescent="0.3">
      <c r="B67" s="47" t="s">
        <v>33</v>
      </c>
      <c r="C67" s="43">
        <v>145</v>
      </c>
      <c r="D67" s="43">
        <v>11</v>
      </c>
      <c r="E67" s="43">
        <v>165</v>
      </c>
      <c r="F67" s="43">
        <v>231</v>
      </c>
      <c r="G67" s="43">
        <v>86</v>
      </c>
      <c r="H67" s="54">
        <f>+(H45-G45)</f>
        <v>448.49542660859288</v>
      </c>
      <c r="I67" s="54">
        <f t="shared" ref="I67:L67" si="39">+(I45-H45)</f>
        <v>528.03147468407269</v>
      </c>
      <c r="J67" s="54">
        <f t="shared" si="39"/>
        <v>638.9414696687204</v>
      </c>
      <c r="K67" s="54">
        <f t="shared" si="39"/>
        <v>773.14747554903306</v>
      </c>
      <c r="L67" s="54">
        <f t="shared" si="39"/>
        <v>935.54268633990705</v>
      </c>
    </row>
    <row r="68" spans="2:18" x14ac:dyDescent="0.3">
      <c r="B68" s="47" t="s">
        <v>34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4">
        <f>G68</f>
        <v>0</v>
      </c>
      <c r="I68" s="44">
        <f t="shared" ref="I68:L68" si="40">H68</f>
        <v>0</v>
      </c>
      <c r="J68" s="44">
        <f t="shared" si="40"/>
        <v>0</v>
      </c>
      <c r="K68" s="44">
        <f t="shared" si="40"/>
        <v>0</v>
      </c>
      <c r="L68" s="44">
        <f t="shared" si="40"/>
        <v>0</v>
      </c>
      <c r="R68" s="40"/>
    </row>
    <row r="69" spans="2:18" x14ac:dyDescent="0.3">
      <c r="B69" s="47" t="s">
        <v>35</v>
      </c>
      <c r="C69" s="43">
        <v>12</v>
      </c>
      <c r="D69" s="43">
        <v>-3</v>
      </c>
      <c r="E69" s="43">
        <v>0</v>
      </c>
      <c r="F69" s="43">
        <v>0</v>
      </c>
      <c r="G69" s="43">
        <v>0</v>
      </c>
      <c r="H69" s="44">
        <f>G69</f>
        <v>0</v>
      </c>
      <c r="I69" s="44">
        <f t="shared" ref="I69:L69" si="41">H69</f>
        <v>0</v>
      </c>
      <c r="J69" s="44">
        <f t="shared" si="41"/>
        <v>0</v>
      </c>
      <c r="K69" s="44">
        <f t="shared" si="41"/>
        <v>0</v>
      </c>
      <c r="L69" s="44">
        <f t="shared" si="41"/>
        <v>0</v>
      </c>
    </row>
    <row r="70" spans="2:18" x14ac:dyDescent="0.3">
      <c r="B70" s="47" t="s">
        <v>36</v>
      </c>
      <c r="C70" s="43">
        <v>41</v>
      </c>
      <c r="D70" s="43">
        <v>-73</v>
      </c>
      <c r="E70" s="43">
        <v>12</v>
      </c>
      <c r="F70" s="43">
        <v>-87</v>
      </c>
      <c r="G70" s="43">
        <v>-94</v>
      </c>
      <c r="H70" s="44">
        <f>0</f>
        <v>0</v>
      </c>
      <c r="I70" s="44">
        <f>0</f>
        <v>0</v>
      </c>
      <c r="J70" s="44">
        <f>0</f>
        <v>0</v>
      </c>
      <c r="K70" s="44">
        <f>0</f>
        <v>0</v>
      </c>
      <c r="L70" s="44">
        <f>0</f>
        <v>0</v>
      </c>
    </row>
    <row r="71" spans="2:18" x14ac:dyDescent="0.3">
      <c r="B71" s="47" t="s">
        <v>37</v>
      </c>
      <c r="C71" s="43">
        <v>-127</v>
      </c>
      <c r="D71" s="43">
        <v>-582</v>
      </c>
      <c r="E71" s="43">
        <v>-320</v>
      </c>
      <c r="F71" s="43">
        <v>-644</v>
      </c>
      <c r="G71" s="43">
        <v>-1113</v>
      </c>
      <c r="H71" s="54">
        <f>SUM(H65:H70)</f>
        <v>-544.25441811665337</v>
      </c>
      <c r="I71" s="54">
        <f t="shared" ref="I71:L71" si="42">SUM(I65:I70)</f>
        <v>-772.33377388316785</v>
      </c>
      <c r="J71" s="54">
        <f t="shared" si="42"/>
        <v>-934.558071287232</v>
      </c>
      <c r="K71" s="54">
        <f t="shared" si="42"/>
        <v>-1130.8566556876126</v>
      </c>
      <c r="L71" s="54">
        <f t="shared" si="42"/>
        <v>-1368.386636425425</v>
      </c>
      <c r="M71" s="40"/>
      <c r="N71" s="40"/>
      <c r="O71" s="40"/>
      <c r="P71" s="40"/>
      <c r="Q71" s="40"/>
      <c r="R71" s="40"/>
    </row>
    <row r="72" spans="2:18" x14ac:dyDescent="0.3">
      <c r="B72" s="47" t="s">
        <v>38</v>
      </c>
      <c r="C72" s="43">
        <v>-262</v>
      </c>
      <c r="D72" s="43">
        <v>-560</v>
      </c>
      <c r="E72" s="43">
        <v>-709</v>
      </c>
      <c r="F72" s="43">
        <v>-742</v>
      </c>
      <c r="G72" s="43">
        <v>-959</v>
      </c>
      <c r="H72" s="54">
        <f ca="1">-H36</f>
        <v>-1288.6457060902737</v>
      </c>
      <c r="I72" s="54">
        <f t="shared" ref="I72:L72" ca="1" si="43">-I36</f>
        <v>-1548.8043005950115</v>
      </c>
      <c r="J72" s="54">
        <f t="shared" ca="1" si="43"/>
        <v>-1870.7707934927309</v>
      </c>
      <c r="K72" s="54">
        <f t="shared" ca="1" si="43"/>
        <v>-2260.105127251677</v>
      </c>
      <c r="L72" s="54">
        <f t="shared" ca="1" si="43"/>
        <v>-2730.9374547723587</v>
      </c>
    </row>
    <row r="73" spans="2:18" x14ac:dyDescent="0.3">
      <c r="B73" s="47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2:18" ht="15" thickBot="1" x14ac:dyDescent="0.35">
      <c r="B74" s="45" t="s">
        <v>60</v>
      </c>
      <c r="C74" s="53">
        <f t="shared" ref="C74:H74" si="44">SUM(C75:C84)</f>
        <v>-1109</v>
      </c>
      <c r="D74" s="53">
        <f t="shared" si="44"/>
        <v>-1288</v>
      </c>
      <c r="E74" s="53">
        <f t="shared" si="44"/>
        <v>-2313</v>
      </c>
      <c r="F74" s="53">
        <f t="shared" si="44"/>
        <v>-2468</v>
      </c>
      <c r="G74" s="53">
        <f t="shared" si="44"/>
        <v>-2184</v>
      </c>
      <c r="H74" s="53">
        <f t="shared" si="44"/>
        <v>-4007.3149301398375</v>
      </c>
      <c r="I74" s="53">
        <f t="shared" ref="I74:L74" si="45">SUM(I75:I84)</f>
        <v>-4845.4256154300583</v>
      </c>
      <c r="J74" s="53">
        <f t="shared" si="45"/>
        <v>-5929.9784452841277</v>
      </c>
      <c r="K74" s="53">
        <f t="shared" si="45"/>
        <v>-7193.2578199163272</v>
      </c>
      <c r="L74" s="53">
        <f t="shared" si="45"/>
        <v>-8731.1329379737617</v>
      </c>
    </row>
    <row r="75" spans="2:18" x14ac:dyDescent="0.3">
      <c r="B75" s="47" t="s">
        <v>39</v>
      </c>
      <c r="C75" s="43">
        <v>-2029</v>
      </c>
      <c r="D75" s="43">
        <v>-2410</v>
      </c>
      <c r="E75" s="43">
        <v>-2212</v>
      </c>
      <c r="F75" s="43">
        <v>-2731</v>
      </c>
      <c r="G75" s="43">
        <v>-3423</v>
      </c>
      <c r="H75" s="54">
        <f>-H24*H13</f>
        <v>-4141.9815968065041</v>
      </c>
      <c r="I75" s="54">
        <f>-I24*I13</f>
        <v>-5011.981170985614</v>
      </c>
      <c r="J75" s="54">
        <f>-J24*J13</f>
        <v>-6064.7191860248686</v>
      </c>
      <c r="K75" s="54">
        <f>-K24*K13</f>
        <v>-7338.5788075706478</v>
      </c>
      <c r="L75" s="54">
        <f>-L24*L13</f>
        <v>-8880.0053659573005</v>
      </c>
    </row>
    <row r="76" spans="2:18" x14ac:dyDescent="0.3">
      <c r="B76" s="47" t="s">
        <v>40</v>
      </c>
      <c r="C76" s="43">
        <v>2</v>
      </c>
      <c r="D76" s="43">
        <v>21</v>
      </c>
      <c r="E76" s="43">
        <v>5</v>
      </c>
      <c r="F76" s="43">
        <v>9</v>
      </c>
      <c r="G76" s="43">
        <v>6</v>
      </c>
      <c r="H76" s="44">
        <f>$C$77</f>
        <v>0</v>
      </c>
      <c r="I76" s="44">
        <f t="shared" ref="I76:L76" si="46">$C$77</f>
        <v>0</v>
      </c>
      <c r="J76" s="44">
        <f t="shared" si="46"/>
        <v>0</v>
      </c>
      <c r="K76" s="44">
        <f t="shared" si="46"/>
        <v>0</v>
      </c>
      <c r="L76" s="44">
        <f t="shared" si="46"/>
        <v>0</v>
      </c>
    </row>
    <row r="77" spans="2:18" x14ac:dyDescent="0.3">
      <c r="B77" s="47" t="s">
        <v>41</v>
      </c>
      <c r="C77" s="43">
        <v>0</v>
      </c>
      <c r="D77" s="43">
        <v>0</v>
      </c>
      <c r="E77" s="43">
        <v>-193</v>
      </c>
      <c r="F77" s="43">
        <v>-4201</v>
      </c>
      <c r="G77" s="43">
        <v>-4948</v>
      </c>
      <c r="H77" s="44">
        <f>H76</f>
        <v>0</v>
      </c>
      <c r="I77" s="44">
        <f t="shared" ref="I77:L77" si="47">I76</f>
        <v>0</v>
      </c>
      <c r="J77" s="44">
        <f t="shared" si="47"/>
        <v>0</v>
      </c>
      <c r="K77" s="44">
        <f t="shared" si="47"/>
        <v>0</v>
      </c>
      <c r="L77" s="44">
        <f t="shared" si="47"/>
        <v>0</v>
      </c>
    </row>
    <row r="78" spans="2:18" x14ac:dyDescent="0.3">
      <c r="B78" s="47" t="s">
        <v>42</v>
      </c>
      <c r="C78" s="43">
        <v>3</v>
      </c>
      <c r="D78" s="43">
        <v>4</v>
      </c>
      <c r="E78" s="43">
        <v>6</v>
      </c>
      <c r="F78" s="43">
        <v>4324</v>
      </c>
      <c r="G78" s="43">
        <v>5074</v>
      </c>
      <c r="H78" s="44">
        <f>H79</f>
        <v>0</v>
      </c>
      <c r="I78" s="44">
        <f t="shared" ref="I78:K78" si="48">I79</f>
        <v>0</v>
      </c>
      <c r="J78" s="44">
        <f t="shared" si="48"/>
        <v>0</v>
      </c>
      <c r="K78" s="44">
        <f t="shared" si="48"/>
        <v>0</v>
      </c>
      <c r="L78" s="44">
        <f>L79</f>
        <v>0</v>
      </c>
    </row>
    <row r="79" spans="2:18" x14ac:dyDescent="0.3">
      <c r="B79" s="47" t="s">
        <v>43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4">
        <f>G79</f>
        <v>0</v>
      </c>
      <c r="I79" s="44">
        <f t="shared" ref="I79:L79" si="49">H79</f>
        <v>0</v>
      </c>
      <c r="J79" s="44">
        <f t="shared" si="49"/>
        <v>0</v>
      </c>
      <c r="K79" s="44">
        <f t="shared" si="49"/>
        <v>0</v>
      </c>
      <c r="L79" s="44">
        <f t="shared" si="49"/>
        <v>0</v>
      </c>
    </row>
    <row r="80" spans="2:18" x14ac:dyDescent="0.3">
      <c r="B80" s="47" t="s">
        <v>44</v>
      </c>
      <c r="C80" s="43">
        <v>129</v>
      </c>
      <c r="D80" s="43">
        <v>43</v>
      </c>
      <c r="E80" s="43">
        <v>39</v>
      </c>
      <c r="F80" s="43">
        <v>262</v>
      </c>
      <c r="G80" s="43">
        <v>103</v>
      </c>
      <c r="H80" s="54">
        <f>AVERAGE(E80:G80)</f>
        <v>134.66666666666666</v>
      </c>
      <c r="I80" s="54">
        <f>AVERAGE(F80:H80)</f>
        <v>166.55555555555554</v>
      </c>
      <c r="J80" s="54">
        <f t="shared" ref="J80:L80" si="50">AVERAGE(G80:I80)</f>
        <v>134.74074074074073</v>
      </c>
      <c r="K80" s="54">
        <f t="shared" si="50"/>
        <v>145.32098765432099</v>
      </c>
      <c r="L80" s="54">
        <f t="shared" si="50"/>
        <v>148.8724279835391</v>
      </c>
    </row>
    <row r="81" spans="2:12" x14ac:dyDescent="0.3">
      <c r="B81" s="47" t="s">
        <v>45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4">
        <f>G81</f>
        <v>0</v>
      </c>
      <c r="I81" s="44">
        <f t="shared" ref="I81:L81" si="51">H81</f>
        <v>0</v>
      </c>
      <c r="J81" s="44">
        <f t="shared" si="51"/>
        <v>0</v>
      </c>
      <c r="K81" s="44">
        <f t="shared" si="51"/>
        <v>0</v>
      </c>
      <c r="L81" s="44">
        <f t="shared" si="51"/>
        <v>0</v>
      </c>
    </row>
    <row r="82" spans="2:12" x14ac:dyDescent="0.3">
      <c r="B82" s="47" t="s">
        <v>46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4">
        <f t="shared" ref="H82:L84" si="52">G82</f>
        <v>0</v>
      </c>
      <c r="I82" s="44">
        <f t="shared" si="52"/>
        <v>0</v>
      </c>
      <c r="J82" s="44">
        <f t="shared" si="52"/>
        <v>0</v>
      </c>
      <c r="K82" s="44">
        <f t="shared" si="52"/>
        <v>0</v>
      </c>
      <c r="L82" s="44">
        <f t="shared" si="52"/>
        <v>0</v>
      </c>
    </row>
    <row r="83" spans="2:12" x14ac:dyDescent="0.3">
      <c r="B83" s="47" t="s">
        <v>47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4">
        <f t="shared" si="52"/>
        <v>0</v>
      </c>
      <c r="I83" s="44">
        <f t="shared" si="52"/>
        <v>0</v>
      </c>
      <c r="J83" s="44">
        <f t="shared" si="52"/>
        <v>0</v>
      </c>
      <c r="K83" s="44">
        <f t="shared" si="52"/>
        <v>0</v>
      </c>
      <c r="L83" s="44">
        <f t="shared" si="52"/>
        <v>0</v>
      </c>
    </row>
    <row r="84" spans="2:12" x14ac:dyDescent="0.3">
      <c r="B84" s="47" t="s">
        <v>48</v>
      </c>
      <c r="C84" s="43">
        <v>786</v>
      </c>
      <c r="D84" s="43">
        <v>1054</v>
      </c>
      <c r="E84" s="43">
        <v>42</v>
      </c>
      <c r="F84" s="43">
        <v>-131</v>
      </c>
      <c r="G84" s="43">
        <v>1004</v>
      </c>
      <c r="H84" s="44">
        <f>H83</f>
        <v>0</v>
      </c>
      <c r="I84" s="44">
        <f t="shared" si="52"/>
        <v>0</v>
      </c>
      <c r="J84" s="44">
        <f t="shared" si="52"/>
        <v>0</v>
      </c>
      <c r="K84" s="44">
        <f t="shared" si="52"/>
        <v>0</v>
      </c>
      <c r="L84" s="44">
        <f t="shared" si="52"/>
        <v>0</v>
      </c>
    </row>
    <row r="85" spans="2:12" x14ac:dyDescent="0.3">
      <c r="B85" s="47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2:12" ht="15" thickBot="1" x14ac:dyDescent="0.35">
      <c r="B86" s="45" t="s">
        <v>59</v>
      </c>
      <c r="C86" s="53">
        <f>SUM(C87:C95)</f>
        <v>-180</v>
      </c>
      <c r="D86" s="53">
        <f>SUM(D87:D95)</f>
        <v>-179</v>
      </c>
      <c r="E86" s="53">
        <f>SUM(E87:E95)</f>
        <v>-204</v>
      </c>
      <c r="F86" s="53">
        <f>SUM(F87:F95)</f>
        <v>-147</v>
      </c>
      <c r="G86" s="53">
        <f>SUM(G87:G95)</f>
        <v>-259</v>
      </c>
      <c r="H86" s="53">
        <f t="shared" ref="H86:L86" ca="1" si="53">SUM(H87:H95)</f>
        <v>-385.81239020245368</v>
      </c>
      <c r="I86" s="53">
        <f t="shared" ca="1" si="53"/>
        <v>-510.49929981387191</v>
      </c>
      <c r="J86" s="53">
        <f t="shared" ca="1" si="53"/>
        <v>-631.63846382946429</v>
      </c>
      <c r="K86" s="53">
        <f t="shared" ca="1" si="53"/>
        <v>-779.29904177963817</v>
      </c>
      <c r="L86" s="53">
        <f t="shared" ca="1" si="53"/>
        <v>-959.13505592932825</v>
      </c>
    </row>
    <row r="87" spans="2:12" x14ac:dyDescent="0.3">
      <c r="B87" s="47" t="s">
        <v>49</v>
      </c>
      <c r="C87" s="43">
        <v>0</v>
      </c>
      <c r="D87" s="43">
        <v>0</v>
      </c>
      <c r="E87" s="43">
        <v>15</v>
      </c>
      <c r="F87" s="43">
        <v>75</v>
      </c>
      <c r="G87" s="43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</row>
    <row r="88" spans="2:12" x14ac:dyDescent="0.3">
      <c r="B88" s="47" t="s">
        <v>50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</row>
    <row r="89" spans="2:12" x14ac:dyDescent="0.3">
      <c r="B89" s="47" t="s">
        <v>51</v>
      </c>
      <c r="C89" s="43">
        <v>-34</v>
      </c>
      <c r="D89" s="43">
        <v>0</v>
      </c>
      <c r="E89" s="43">
        <v>0</v>
      </c>
      <c r="F89" s="43">
        <v>0</v>
      </c>
      <c r="G89" s="43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</row>
    <row r="90" spans="2:12" x14ac:dyDescent="0.3">
      <c r="B90" s="47" t="s">
        <v>52</v>
      </c>
      <c r="C90" s="43">
        <v>200</v>
      </c>
      <c r="D90" s="43">
        <v>248</v>
      </c>
      <c r="E90" s="43">
        <v>0</v>
      </c>
      <c r="F90" s="43">
        <v>0</v>
      </c>
      <c r="G90" s="43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</row>
    <row r="91" spans="2:12" x14ac:dyDescent="0.3">
      <c r="B91" s="47" t="s">
        <v>53</v>
      </c>
      <c r="C91" s="43">
        <v>-204</v>
      </c>
      <c r="D91" s="43">
        <v>-248</v>
      </c>
      <c r="E91" s="43">
        <v>0</v>
      </c>
      <c r="F91" s="43">
        <v>0</v>
      </c>
      <c r="G91" s="43">
        <v>0</v>
      </c>
      <c r="H91" s="44">
        <f>G91</f>
        <v>0</v>
      </c>
      <c r="I91" s="44">
        <f t="shared" ref="I91:L91" si="54">H91</f>
        <v>0</v>
      </c>
      <c r="J91" s="44">
        <f t="shared" si="54"/>
        <v>0</v>
      </c>
      <c r="K91" s="44">
        <f t="shared" si="54"/>
        <v>0</v>
      </c>
      <c r="L91" s="44">
        <f t="shared" si="54"/>
        <v>0</v>
      </c>
    </row>
    <row r="92" spans="2:12" x14ac:dyDescent="0.3">
      <c r="B92" s="47" t="s">
        <v>54</v>
      </c>
      <c r="C92" s="43">
        <v>-44</v>
      </c>
      <c r="D92" s="43">
        <v>-54</v>
      </c>
      <c r="E92" s="43">
        <v>-67</v>
      </c>
      <c r="F92" s="43">
        <v>-58</v>
      </c>
      <c r="G92" s="43">
        <v>-69</v>
      </c>
      <c r="H92" s="54">
        <f ca="1">-H34</f>
        <v>-125.861352464658</v>
      </c>
      <c r="I92" s="54">
        <f t="shared" ref="I92:L92" ca="1" si="55">-I34</f>
        <v>-195.94703151685098</v>
      </c>
      <c r="J92" s="54">
        <f t="shared" ca="1" si="55"/>
        <v>-251.01628839271208</v>
      </c>
      <c r="K92" s="54">
        <f t="shared" ca="1" si="55"/>
        <v>-318.72935261940324</v>
      </c>
      <c r="L92" s="54">
        <f t="shared" ca="1" si="55"/>
        <v>-401.82533447195613</v>
      </c>
    </row>
    <row r="93" spans="2:12" x14ac:dyDescent="0.3">
      <c r="B93" s="47" t="s">
        <v>55</v>
      </c>
      <c r="C93" s="43">
        <v>-98</v>
      </c>
      <c r="D93" s="43">
        <v>-125</v>
      </c>
      <c r="E93" s="43">
        <v>-153</v>
      </c>
      <c r="F93" s="43">
        <v>-164</v>
      </c>
      <c r="G93" s="43">
        <v>-190</v>
      </c>
      <c r="H93" s="54">
        <f>-H24*H20</f>
        <v>-259.95103773779567</v>
      </c>
      <c r="I93" s="54">
        <f t="shared" ref="I93:L93" si="56">-I24*I20</f>
        <v>-314.55226829702093</v>
      </c>
      <c r="J93" s="54">
        <f t="shared" si="56"/>
        <v>-380.62217543675217</v>
      </c>
      <c r="K93" s="54">
        <f t="shared" si="56"/>
        <v>-460.56968916023487</v>
      </c>
      <c r="L93" s="54">
        <f t="shared" si="56"/>
        <v>-557.30972145737212</v>
      </c>
    </row>
    <row r="94" spans="2:12" x14ac:dyDescent="0.3">
      <c r="B94" s="47" t="s">
        <v>56</v>
      </c>
      <c r="C94" s="43">
        <v>0</v>
      </c>
      <c r="D94" s="43">
        <v>0</v>
      </c>
      <c r="E94" s="43">
        <v>1</v>
      </c>
      <c r="F94" s="43">
        <v>0</v>
      </c>
      <c r="G94" s="43">
        <v>0</v>
      </c>
      <c r="H94" s="44">
        <f>G94</f>
        <v>0</v>
      </c>
      <c r="I94" s="44">
        <f t="shared" ref="I94:L94" si="57">H94</f>
        <v>0</v>
      </c>
      <c r="J94" s="44">
        <f t="shared" si="57"/>
        <v>0</v>
      </c>
      <c r="K94" s="44">
        <f t="shared" si="57"/>
        <v>0</v>
      </c>
      <c r="L94" s="44">
        <f t="shared" si="57"/>
        <v>0</v>
      </c>
    </row>
    <row r="95" spans="2:12" x14ac:dyDescent="0.3">
      <c r="B95" s="47" t="s">
        <v>57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4">
        <f>G95</f>
        <v>0</v>
      </c>
      <c r="I95" s="44">
        <f t="shared" ref="I95:L95" si="58">H95</f>
        <v>0</v>
      </c>
      <c r="J95" s="44">
        <f t="shared" si="58"/>
        <v>0</v>
      </c>
      <c r="K95" s="44">
        <f t="shared" si="58"/>
        <v>0</v>
      </c>
      <c r="L95" s="44">
        <f t="shared" si="58"/>
        <v>0</v>
      </c>
    </row>
    <row r="96" spans="2:12" x14ac:dyDescent="0.3">
      <c r="B96" s="47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2:12" ht="15" thickBot="1" x14ac:dyDescent="0.35">
      <c r="B97" s="45" t="s">
        <v>5</v>
      </c>
      <c r="C97" s="53">
        <f t="shared" ref="C97:I97" si="59">C63+C74+C86</f>
        <v>86</v>
      </c>
      <c r="D97" s="53">
        <f t="shared" si="59"/>
        <v>-94</v>
      </c>
      <c r="E97" s="53">
        <f t="shared" si="59"/>
        <v>113</v>
      </c>
      <c r="F97" s="53">
        <f t="shared" si="59"/>
        <v>130</v>
      </c>
      <c r="G97" s="53">
        <f t="shared" si="59"/>
        <v>20</v>
      </c>
      <c r="H97" s="53">
        <f t="shared" ca="1" si="59"/>
        <v>301.80902659309083</v>
      </c>
      <c r="I97" s="53">
        <f t="shared" ca="1" si="59"/>
        <v>221.90824324130648</v>
      </c>
      <c r="J97" s="53">
        <f t="shared" ref="J97:L97" ca="1" si="60">J63+J74+J86</f>
        <v>191.15924528215021</v>
      </c>
      <c r="K97" s="53">
        <f t="shared" ca="1" si="60"/>
        <v>202.2117350812623</v>
      </c>
      <c r="L97" s="53">
        <f t="shared" ca="1" si="60"/>
        <v>205.45389398522593</v>
      </c>
    </row>
    <row r="99" spans="2:12" ht="18.600000000000001" thickBot="1" x14ac:dyDescent="0.4">
      <c r="B99" s="35" t="s">
        <v>70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2:12" ht="4.95" customHeight="1" x14ac:dyDescent="0.3"/>
    <row r="101" spans="2:12" x14ac:dyDescent="0.3">
      <c r="B101" s="31" t="s">
        <v>71</v>
      </c>
      <c r="C101" s="54">
        <f>C24</f>
        <v>24143.06</v>
      </c>
      <c r="D101" s="54">
        <f t="shared" ref="D101:L101" si="61">D24</f>
        <v>30976.27</v>
      </c>
      <c r="E101" s="54">
        <f t="shared" si="61"/>
        <v>42839.56</v>
      </c>
      <c r="F101" s="54">
        <f t="shared" si="61"/>
        <v>50788.83</v>
      </c>
      <c r="G101" s="54">
        <f t="shared" si="61"/>
        <v>59358.05</v>
      </c>
      <c r="H101" s="54">
        <f t="shared" si="61"/>
        <v>71825.869331674068</v>
      </c>
      <c r="I101" s="54">
        <f t="shared" si="61"/>
        <v>86912.482894076151</v>
      </c>
      <c r="J101" s="54">
        <f t="shared" si="61"/>
        <v>105167.95345603958</v>
      </c>
      <c r="K101" s="54">
        <f t="shared" si="61"/>
        <v>127257.8813288691</v>
      </c>
      <c r="L101" s="54">
        <f t="shared" si="61"/>
        <v>153987.67236715215</v>
      </c>
    </row>
    <row r="102" spans="2:12" x14ac:dyDescent="0.3">
      <c r="B102" s="31" t="s">
        <v>72</v>
      </c>
      <c r="C102" s="52">
        <f>C26/C24</f>
        <v>8.8231152140615068E-2</v>
      </c>
      <c r="D102" s="52">
        <f t="shared" ref="D102:L102" si="62">D26/D24</f>
        <v>9.5163491278969392E-2</v>
      </c>
      <c r="E102" s="52">
        <f t="shared" si="62"/>
        <v>9.9820586392577265E-2</v>
      </c>
      <c r="F102" s="52">
        <f t="shared" si="62"/>
        <v>9.6604903085973914E-2</v>
      </c>
      <c r="G102" s="52">
        <f t="shared" si="62"/>
        <v>9.1635085721313264E-2</v>
      </c>
      <c r="H102" s="52">
        <f t="shared" si="62"/>
        <v>9.5884197182471653E-2</v>
      </c>
      <c r="I102" s="52">
        <f t="shared" si="62"/>
        <v>9.5884197182471695E-2</v>
      </c>
      <c r="J102" s="52">
        <f t="shared" si="62"/>
        <v>9.5884197182471681E-2</v>
      </c>
      <c r="K102" s="52">
        <f t="shared" si="62"/>
        <v>9.5884197182471653E-2</v>
      </c>
      <c r="L102" s="52">
        <f t="shared" si="62"/>
        <v>9.5884197182471667E-2</v>
      </c>
    </row>
    <row r="104" spans="2:12" x14ac:dyDescent="0.3">
      <c r="B104" s="31" t="s">
        <v>73</v>
      </c>
      <c r="C104" s="54">
        <f>C63</f>
        <v>1375</v>
      </c>
      <c r="D104" s="54">
        <f t="shared" ref="D104:L104" si="63">D63</f>
        <v>1373</v>
      </c>
      <c r="E104" s="54">
        <f t="shared" si="63"/>
        <v>2630</v>
      </c>
      <c r="F104" s="54">
        <f t="shared" si="63"/>
        <v>2745</v>
      </c>
      <c r="G104" s="54">
        <f t="shared" si="63"/>
        <v>2463</v>
      </c>
      <c r="H104" s="54">
        <f t="shared" ca="1" si="63"/>
        <v>4694.9363469353821</v>
      </c>
      <c r="I104" s="54">
        <f t="shared" ca="1" si="63"/>
        <v>5577.8331584852367</v>
      </c>
      <c r="J104" s="54">
        <f t="shared" ca="1" si="63"/>
        <v>6752.7761543957422</v>
      </c>
      <c r="K104" s="54">
        <f t="shared" ca="1" si="63"/>
        <v>8174.7685967772277</v>
      </c>
      <c r="L104" s="54">
        <f t="shared" ca="1" si="63"/>
        <v>9895.7218878883159</v>
      </c>
    </row>
    <row r="105" spans="2:12" x14ac:dyDescent="0.3">
      <c r="B105" s="31" t="s">
        <v>74</v>
      </c>
      <c r="C105" s="54">
        <f>C74</f>
        <v>-1109</v>
      </c>
      <c r="D105" s="54">
        <f t="shared" ref="D105:L105" si="64">D74</f>
        <v>-1288</v>
      </c>
      <c r="E105" s="54">
        <f t="shared" si="64"/>
        <v>-2313</v>
      </c>
      <c r="F105" s="54">
        <f t="shared" si="64"/>
        <v>-2468</v>
      </c>
      <c r="G105" s="54">
        <f t="shared" si="64"/>
        <v>-2184</v>
      </c>
      <c r="H105" s="54">
        <f t="shared" si="64"/>
        <v>-4007.3149301398375</v>
      </c>
      <c r="I105" s="54">
        <f t="shared" si="64"/>
        <v>-4845.4256154300583</v>
      </c>
      <c r="J105" s="54">
        <f t="shared" si="64"/>
        <v>-5929.9784452841277</v>
      </c>
      <c r="K105" s="54">
        <f t="shared" si="64"/>
        <v>-7193.2578199163272</v>
      </c>
      <c r="L105" s="54">
        <f t="shared" si="64"/>
        <v>-8731.1329379737617</v>
      </c>
    </row>
    <row r="106" spans="2:12" x14ac:dyDescent="0.3">
      <c r="B106" s="31" t="s">
        <v>75</v>
      </c>
      <c r="C106" s="54">
        <f>C86</f>
        <v>-180</v>
      </c>
      <c r="D106" s="54">
        <f t="shared" ref="D106:L106" si="65">D86</f>
        <v>-179</v>
      </c>
      <c r="E106" s="54">
        <f t="shared" si="65"/>
        <v>-204</v>
      </c>
      <c r="F106" s="54">
        <f t="shared" si="65"/>
        <v>-147</v>
      </c>
      <c r="G106" s="54">
        <f t="shared" si="65"/>
        <v>-259</v>
      </c>
      <c r="H106" s="54">
        <f t="shared" ca="1" si="65"/>
        <v>-385.81239020245368</v>
      </c>
      <c r="I106" s="54">
        <f t="shared" ca="1" si="65"/>
        <v>-510.49929981387191</v>
      </c>
      <c r="J106" s="54">
        <f t="shared" ca="1" si="65"/>
        <v>-631.63846382946429</v>
      </c>
      <c r="K106" s="54">
        <f t="shared" ca="1" si="65"/>
        <v>-779.29904177963817</v>
      </c>
      <c r="L106" s="54">
        <f t="shared" ca="1" si="65"/>
        <v>-959.13505592932825</v>
      </c>
    </row>
  </sheetData>
  <sheetProtection algorithmName="SHA-512" hashValue="MVMN2g1AL3V59yf9uqH0WBG2V/6eCYwGsTXrHpySbIgCK8O1J4bSJZqUtRwYrOJrE5S2HXaPKQjW86vms2ZIcg==" saltValue="UXoZR1SA8FV8f/XMUfaQvw==" spinCount="100000" sheet="1" objects="1" scenarios="1"/>
  <mergeCells count="3">
    <mergeCell ref="C2:G2"/>
    <mergeCell ref="B2:B3"/>
    <mergeCell ref="B1:L1"/>
  </mergeCells>
  <pageMargins left="0.7" right="0.7" top="0.75" bottom="0.75" header="0.3" footer="0.3"/>
  <pageSetup scale="67" orientation="portrait" r:id="rId1"/>
  <rowBreaks count="1" manualBreakCount="1">
    <brk id="60" max="16383" man="1"/>
  </rowBreaks>
  <colBreaks count="1" manualBreakCount="1">
    <brk id="12" max="1048575" man="1"/>
  </colBreaks>
  <ignoredErrors>
    <ignoredError sqref="H80" formulaRange="1"/>
    <ignoredError sqref="H94:L95 H91:L91 H81:L84 H76:L79 H68:L7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</vt:lpstr>
      <vt:lpstr>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Anvay Gulwe</cp:lastModifiedBy>
  <cp:lastPrinted>2026-01-07T14:07:05Z</cp:lastPrinted>
  <dcterms:created xsi:type="dcterms:W3CDTF">2012-08-17T09:55:37Z</dcterms:created>
  <dcterms:modified xsi:type="dcterms:W3CDTF">2026-01-08T00:37:10Z</dcterms:modified>
</cp:coreProperties>
</file>