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codeName="ThisWorkbook"/>
  <mc:AlternateContent xmlns:mc="http://schemas.openxmlformats.org/markup-compatibility/2006">
    <mc:Choice Requires="x15">
      <x15ac:absPath xmlns:x15ac="http://schemas.microsoft.com/office/spreadsheetml/2010/11/ac" url="D:\ANVAY PORTFOLIO (WEBSITE)\Financial Modeling\CORE MODELS\"/>
    </mc:Choice>
  </mc:AlternateContent>
  <xr:revisionPtr revIDLastSave="0" documentId="13_ncr:1_{4A9F33B8-75DF-442B-B754-BF62994CF84F}" xr6:coauthVersionLast="47" xr6:coauthVersionMax="47" xr10:uidLastSave="{00000000-0000-0000-0000-000000000000}"/>
  <bookViews>
    <workbookView xWindow="-108" yWindow="-108" windowWidth="23256" windowHeight="12456" activeTab="4" xr2:uid="{00000000-000D-0000-FFFF-FFFF00000000}"/>
  </bookViews>
  <sheets>
    <sheet name="Profit &amp; Loss" sheetId="1" r:id="rId1"/>
    <sheet name="Balance Sheet" sheetId="2" r:id="rId2"/>
    <sheet name="Cash Flow" sheetId="4" r:id="rId3"/>
    <sheet name="Data Sheet" sheetId="6" r:id="rId4"/>
    <sheet name="DCF" sheetId="7" r:id="rId5"/>
    <sheet name="Overview" sheetId="8" r:id="rId6"/>
  </sheets>
  <definedNames>
    <definedName name="_xlnm.Print_Area" localSheetId="4">DCF!$A$1:$Q$76</definedName>
    <definedName name="UPDATE">'Data Sheet'!$E$1</definedName>
  </definedName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Q22" i="7" l="1"/>
  <c r="Q24" i="7" s="1"/>
  <c r="C63" i="7"/>
  <c r="Q39" i="7"/>
  <c r="Q42" i="7" s="1"/>
  <c r="C39" i="7"/>
  <c r="Y24" i="7"/>
  <c r="X24" i="7"/>
  <c r="W24" i="7"/>
  <c r="V24" i="7"/>
  <c r="C30" i="7"/>
  <c r="H71" i="7"/>
  <c r="D71" i="7"/>
  <c r="E71" i="7"/>
  <c r="F71" i="7"/>
  <c r="G71" i="7"/>
  <c r="C71" i="7"/>
  <c r="Q20" i="7"/>
  <c r="E18" i="7"/>
  <c r="F18" i="7" s="1"/>
  <c r="G18" i="7" s="1"/>
  <c r="H18" i="7" s="1"/>
  <c r="I18" i="7" s="1"/>
  <c r="J18" i="7" s="1"/>
  <c r="K18" i="7" s="1"/>
  <c r="L18" i="7" s="1"/>
  <c r="M18" i="7" s="1"/>
  <c r="Q26" i="7"/>
  <c r="L8" i="1"/>
  <c r="L27" i="1" s="1"/>
  <c r="L32" i="1" s="1"/>
  <c r="C7" i="1"/>
  <c r="D7" i="1"/>
  <c r="E7" i="1"/>
  <c r="F7" i="1"/>
  <c r="G7" i="1"/>
  <c r="H7" i="1"/>
  <c r="I7" i="1"/>
  <c r="J7" i="1"/>
  <c r="K7" i="1"/>
  <c r="B7" i="1"/>
  <c r="B6" i="6"/>
  <c r="C17" i="2"/>
  <c r="D17" i="2"/>
  <c r="E17" i="2"/>
  <c r="F17" i="2"/>
  <c r="G17" i="2"/>
  <c r="H17" i="2"/>
  <c r="I17" i="2"/>
  <c r="J17" i="2"/>
  <c r="K17" i="2"/>
  <c r="C18" i="2"/>
  <c r="D18" i="2"/>
  <c r="E18" i="2"/>
  <c r="F18" i="2"/>
  <c r="G18" i="2"/>
  <c r="H18" i="2"/>
  <c r="I18" i="2"/>
  <c r="J18" i="2"/>
  <c r="K18" i="2"/>
  <c r="B17" i="2"/>
  <c r="C4" i="2"/>
  <c r="D4" i="2"/>
  <c r="E4" i="2"/>
  <c r="E5" i="2"/>
  <c r="F4" i="2"/>
  <c r="G4" i="2"/>
  <c r="H4" i="2"/>
  <c r="I4" i="2"/>
  <c r="I5" i="2"/>
  <c r="J4" i="2"/>
  <c r="J5" i="2"/>
  <c r="K4" i="2"/>
  <c r="C5" i="2"/>
  <c r="D5" i="2"/>
  <c r="F5" i="2"/>
  <c r="G5" i="2"/>
  <c r="H5" i="2"/>
  <c r="K5" i="2"/>
  <c r="C6" i="2"/>
  <c r="D6" i="2"/>
  <c r="E6" i="2"/>
  <c r="F6" i="2"/>
  <c r="G6" i="2"/>
  <c r="H6" i="2"/>
  <c r="I6" i="2"/>
  <c r="J6" i="2"/>
  <c r="K6" i="2"/>
  <c r="Q27" i="7" s="1"/>
  <c r="C7" i="2"/>
  <c r="D7" i="2"/>
  <c r="E7" i="2"/>
  <c r="F7" i="2"/>
  <c r="G7" i="2"/>
  <c r="H7" i="2"/>
  <c r="I7" i="2"/>
  <c r="J7" i="2"/>
  <c r="K7" i="2"/>
  <c r="C8" i="2"/>
  <c r="D8" i="2"/>
  <c r="E8" i="2"/>
  <c r="F8" i="2"/>
  <c r="G8" i="2"/>
  <c r="H8" i="2"/>
  <c r="I8" i="2"/>
  <c r="J8" i="2"/>
  <c r="K8" i="2"/>
  <c r="C10" i="2"/>
  <c r="D10" i="2"/>
  <c r="E10" i="2"/>
  <c r="F10" i="2"/>
  <c r="G10" i="2"/>
  <c r="H10" i="2"/>
  <c r="I10" i="2"/>
  <c r="J10" i="2"/>
  <c r="K10" i="2"/>
  <c r="C11" i="2"/>
  <c r="D11" i="2"/>
  <c r="E11" i="2"/>
  <c r="F11" i="2"/>
  <c r="G11" i="2"/>
  <c r="H11" i="2"/>
  <c r="I11" i="2"/>
  <c r="J11" i="2"/>
  <c r="K11" i="2"/>
  <c r="C12" i="2"/>
  <c r="D12" i="2"/>
  <c r="E12" i="2"/>
  <c r="F12" i="2"/>
  <c r="G12" i="2"/>
  <c r="H12" i="2"/>
  <c r="I12" i="2"/>
  <c r="J12" i="2"/>
  <c r="K12" i="2"/>
  <c r="C13" i="2"/>
  <c r="D13" i="2"/>
  <c r="E13" i="2"/>
  <c r="F13" i="2"/>
  <c r="G13" i="2"/>
  <c r="H13" i="2"/>
  <c r="I13" i="2"/>
  <c r="J13" i="2"/>
  <c r="K13" i="2"/>
  <c r="C14" i="2"/>
  <c r="D14" i="2"/>
  <c r="E14" i="2"/>
  <c r="F14" i="2"/>
  <c r="G14" i="2"/>
  <c r="H14" i="2"/>
  <c r="I14" i="2"/>
  <c r="J14" i="2"/>
  <c r="K14" i="2"/>
  <c r="B14" i="2"/>
  <c r="B5" i="2"/>
  <c r="B4" i="2"/>
  <c r="C4" i="4"/>
  <c r="D4" i="4"/>
  <c r="E4" i="4"/>
  <c r="F4" i="4"/>
  <c r="G4" i="4"/>
  <c r="H4" i="4"/>
  <c r="I4" i="4"/>
  <c r="J4" i="4"/>
  <c r="K4" i="4"/>
  <c r="C5" i="4"/>
  <c r="D5" i="4"/>
  <c r="E5" i="4"/>
  <c r="F5" i="4"/>
  <c r="G5" i="4"/>
  <c r="H5" i="4"/>
  <c r="I5" i="4"/>
  <c r="J5" i="4"/>
  <c r="K5" i="4"/>
  <c r="C6" i="4"/>
  <c r="D6" i="4"/>
  <c r="E6" i="4"/>
  <c r="F6" i="4"/>
  <c r="G6" i="4"/>
  <c r="H6" i="4"/>
  <c r="I6" i="4"/>
  <c r="J6" i="4"/>
  <c r="K6" i="4"/>
  <c r="C7" i="4"/>
  <c r="D7" i="4"/>
  <c r="E7" i="4"/>
  <c r="F7" i="4"/>
  <c r="G7" i="4"/>
  <c r="H7" i="4"/>
  <c r="I7" i="4"/>
  <c r="J7" i="4"/>
  <c r="K7" i="4"/>
  <c r="L4" i="1"/>
  <c r="L7" i="1"/>
  <c r="L18" i="1"/>
  <c r="L20" i="1"/>
  <c r="L21" i="1" s="1"/>
  <c r="L22" i="1" s="1"/>
  <c r="L33" i="1" s="1"/>
  <c r="C26" i="1"/>
  <c r="D26" i="1"/>
  <c r="E26" i="1"/>
  <c r="F26" i="1"/>
  <c r="G26" i="1"/>
  <c r="H26" i="1"/>
  <c r="I26" i="1"/>
  <c r="J26" i="1"/>
  <c r="K26" i="1"/>
  <c r="B26" i="1"/>
  <c r="C4" i="1"/>
  <c r="D4" i="1"/>
  <c r="E4" i="1"/>
  <c r="F4" i="1"/>
  <c r="C76" i="7" s="1"/>
  <c r="C73" i="7" s="1"/>
  <c r="G4" i="1"/>
  <c r="U25" i="7" s="1"/>
  <c r="H4" i="1"/>
  <c r="V25" i="7" s="1"/>
  <c r="I4" i="1"/>
  <c r="W25" i="7" s="1"/>
  <c r="J4" i="1"/>
  <c r="X25" i="7" s="1"/>
  <c r="K4" i="1"/>
  <c r="C11" i="1"/>
  <c r="D11" i="1"/>
  <c r="E11" i="1"/>
  <c r="F11" i="1"/>
  <c r="G11" i="1"/>
  <c r="H11" i="1"/>
  <c r="I11" i="1"/>
  <c r="J11" i="1"/>
  <c r="K11" i="1"/>
  <c r="C12" i="1"/>
  <c r="D12" i="1"/>
  <c r="E12" i="1"/>
  <c r="F12" i="1"/>
  <c r="G12" i="1"/>
  <c r="H12" i="1"/>
  <c r="I12" i="1"/>
  <c r="J12" i="1"/>
  <c r="K12" i="1"/>
  <c r="C22" i="7" s="1"/>
  <c r="C26" i="7" s="1"/>
  <c r="C17" i="1"/>
  <c r="D17" i="1"/>
  <c r="E17" i="1"/>
  <c r="F17" i="1"/>
  <c r="G17" i="1"/>
  <c r="H17" i="1"/>
  <c r="I17" i="1"/>
  <c r="J17" i="1"/>
  <c r="K17" i="1"/>
  <c r="C18" i="1"/>
  <c r="D18" i="1"/>
  <c r="E18" i="1"/>
  <c r="F18" i="1"/>
  <c r="G18" i="1"/>
  <c r="H18" i="1"/>
  <c r="I18" i="1"/>
  <c r="J18" i="1"/>
  <c r="K18" i="1"/>
  <c r="C19" i="1"/>
  <c r="D19" i="1"/>
  <c r="E19" i="1"/>
  <c r="F19" i="1"/>
  <c r="G19" i="1"/>
  <c r="H19" i="1"/>
  <c r="I19" i="1"/>
  <c r="J19" i="1"/>
  <c r="K19" i="1"/>
  <c r="C20" i="1"/>
  <c r="C21" i="1" s="1"/>
  <c r="D20" i="1"/>
  <c r="E20" i="1"/>
  <c r="F20" i="1"/>
  <c r="F21" i="1" s="1"/>
  <c r="G20" i="1"/>
  <c r="G21" i="1" s="1"/>
  <c r="H20" i="1"/>
  <c r="I20" i="1"/>
  <c r="I21" i="1" s="1"/>
  <c r="J20" i="1"/>
  <c r="J21" i="1" s="1"/>
  <c r="K20" i="1"/>
  <c r="K21" i="1" s="1"/>
  <c r="C23" i="1"/>
  <c r="D23" i="1"/>
  <c r="E23" i="1"/>
  <c r="F23" i="1"/>
  <c r="G23" i="1"/>
  <c r="H23" i="1"/>
  <c r="I23" i="1"/>
  <c r="J23" i="1"/>
  <c r="K23" i="1"/>
  <c r="B23" i="1"/>
  <c r="B11" i="1"/>
  <c r="B4" i="1"/>
  <c r="A1" i="1"/>
  <c r="A1" i="2" s="1"/>
  <c r="A1" i="4" s="1"/>
  <c r="E1" i="6"/>
  <c r="H1" i="1" s="1"/>
  <c r="C3" i="4"/>
  <c r="D3" i="4"/>
  <c r="E3" i="4"/>
  <c r="F3" i="4"/>
  <c r="G3" i="4"/>
  <c r="H3" i="4"/>
  <c r="I3" i="4"/>
  <c r="J3" i="4"/>
  <c r="K3" i="4"/>
  <c r="C3" i="2"/>
  <c r="D3" i="2"/>
  <c r="E3" i="2"/>
  <c r="F3" i="2"/>
  <c r="G3" i="2"/>
  <c r="H3" i="2"/>
  <c r="I3" i="2"/>
  <c r="J3" i="2"/>
  <c r="K3" i="2"/>
  <c r="C3" i="1"/>
  <c r="D3" i="1"/>
  <c r="E3" i="1"/>
  <c r="F3" i="1"/>
  <c r="G3" i="1"/>
  <c r="H3" i="1"/>
  <c r="I3" i="1"/>
  <c r="J3" i="1"/>
  <c r="K3" i="1"/>
  <c r="B7" i="4"/>
  <c r="B6" i="4"/>
  <c r="B5" i="4"/>
  <c r="B4" i="4"/>
  <c r="B3" i="4"/>
  <c r="B18" i="2"/>
  <c r="B13" i="2"/>
  <c r="B12" i="2"/>
  <c r="B11" i="2"/>
  <c r="B10" i="2"/>
  <c r="B8" i="2"/>
  <c r="B7" i="2"/>
  <c r="B6" i="2"/>
  <c r="B3" i="2"/>
  <c r="L23" i="1"/>
  <c r="B20" i="1"/>
  <c r="B19" i="1"/>
  <c r="B18" i="1"/>
  <c r="B17" i="1"/>
  <c r="B12" i="1"/>
  <c r="B3" i="1"/>
  <c r="L19" i="1"/>
  <c r="K20" i="2" l="1"/>
  <c r="C21" i="2"/>
  <c r="G76" i="7"/>
  <c r="C54" i="7"/>
  <c r="E76" i="7"/>
  <c r="E73" i="7" s="1"/>
  <c r="D76" i="7"/>
  <c r="D73" i="7" s="1"/>
  <c r="C23" i="2"/>
  <c r="F76" i="7"/>
  <c r="F73" i="7" s="1"/>
  <c r="H76" i="7"/>
  <c r="H73" i="7" s="1"/>
  <c r="E1" i="2"/>
  <c r="G73" i="7"/>
  <c r="F16" i="2"/>
  <c r="C16" i="2"/>
  <c r="C20" i="7"/>
  <c r="D20" i="7" s="1"/>
  <c r="E20" i="7" s="1"/>
  <c r="H16" i="2"/>
  <c r="H23" i="2"/>
  <c r="F21" i="2"/>
  <c r="B23" i="2"/>
  <c r="B20" i="2"/>
  <c r="D16" i="2"/>
  <c r="B16" i="2"/>
  <c r="K16" i="2"/>
  <c r="J31" i="1"/>
  <c r="Y25" i="7"/>
  <c r="J21" i="2"/>
  <c r="I21" i="2"/>
  <c r="E72" i="7"/>
  <c r="Q28" i="7"/>
  <c r="Q30" i="7" s="1"/>
  <c r="D72" i="7"/>
  <c r="G72" i="7"/>
  <c r="F72" i="7"/>
  <c r="H72" i="7"/>
  <c r="C29" i="7" s="1"/>
  <c r="C5" i="1"/>
  <c r="E35" i="1"/>
  <c r="G5" i="1"/>
  <c r="C8" i="1"/>
  <c r="C14" i="1" s="1"/>
  <c r="C15" i="1" s="1"/>
  <c r="E5" i="1"/>
  <c r="D5" i="1"/>
  <c r="H5" i="1"/>
  <c r="F5" i="1"/>
  <c r="G22" i="1"/>
  <c r="I5" i="1"/>
  <c r="B5" i="1"/>
  <c r="J5" i="1"/>
  <c r="K5" i="1"/>
  <c r="H35" i="1"/>
  <c r="K21" i="2"/>
  <c r="I31" i="1"/>
  <c r="D20" i="2"/>
  <c r="C20" i="2"/>
  <c r="J20" i="2"/>
  <c r="D35" i="1"/>
  <c r="K35" i="1"/>
  <c r="C35" i="1"/>
  <c r="F35" i="1"/>
  <c r="G8" i="1"/>
  <c r="G14" i="1" s="1"/>
  <c r="G15" i="1" s="1"/>
  <c r="K8" i="1"/>
  <c r="C21" i="7" s="1"/>
  <c r="C23" i="7" s="1"/>
  <c r="J35" i="1"/>
  <c r="J8" i="1"/>
  <c r="J14" i="1" s="1"/>
  <c r="J15" i="1" s="1"/>
  <c r="I35" i="1"/>
  <c r="F22" i="1"/>
  <c r="B35" i="1"/>
  <c r="D21" i="2"/>
  <c r="G21" i="2"/>
  <c r="G35" i="1"/>
  <c r="E8" i="1"/>
  <c r="E14" i="1" s="1"/>
  <c r="E15" i="1" s="1"/>
  <c r="G23" i="2"/>
  <c r="H21" i="1"/>
  <c r="H22" i="1" s="1"/>
  <c r="E21" i="2"/>
  <c r="B21" i="2"/>
  <c r="I23" i="2"/>
  <c r="C22" i="1"/>
  <c r="L31" i="1"/>
  <c r="F23" i="2"/>
  <c r="I8" i="1"/>
  <c r="I14" i="1" s="1"/>
  <c r="I15" i="1" s="1"/>
  <c r="H31" i="1"/>
  <c r="D8" i="1"/>
  <c r="D14" i="1" s="1"/>
  <c r="D15" i="1" s="1"/>
  <c r="K22" i="1"/>
  <c r="D23" i="2"/>
  <c r="J22" i="1"/>
  <c r="K23" i="2"/>
  <c r="H21" i="2"/>
  <c r="N19" i="1"/>
  <c r="M19" i="1"/>
  <c r="I16" i="2"/>
  <c r="K24" i="2"/>
  <c r="B21" i="1"/>
  <c r="B22" i="1" s="1"/>
  <c r="F24" i="2"/>
  <c r="E20" i="2"/>
  <c r="G20" i="2"/>
  <c r="F20" i="2"/>
  <c r="J16" i="2"/>
  <c r="G16" i="2"/>
  <c r="E24" i="2"/>
  <c r="D24" i="2"/>
  <c r="I24" i="2"/>
  <c r="I22" i="1"/>
  <c r="C24" i="2"/>
  <c r="H24" i="2"/>
  <c r="D21" i="1"/>
  <c r="E21" i="1" s="1"/>
  <c r="E22" i="1" s="1"/>
  <c r="J24" i="2"/>
  <c r="G24" i="2"/>
  <c r="B8" i="1"/>
  <c r="B14" i="1" s="1"/>
  <c r="B15" i="1" s="1"/>
  <c r="L17" i="1"/>
  <c r="M17" i="1" s="1"/>
  <c r="L12" i="1"/>
  <c r="N12" i="1" s="1"/>
  <c r="L11" i="1"/>
  <c r="E16" i="2"/>
  <c r="J23" i="2"/>
  <c r="E23" i="2"/>
  <c r="I20" i="2"/>
  <c r="H20" i="2"/>
  <c r="K31" i="1"/>
  <c r="H8" i="1"/>
  <c r="H14" i="1" s="1"/>
  <c r="H15" i="1" s="1"/>
  <c r="F8" i="1"/>
  <c r="F14" i="1" s="1"/>
  <c r="F15" i="1" s="1"/>
  <c r="E1" i="4"/>
  <c r="C74" i="7" l="1"/>
  <c r="I71" i="7" s="1"/>
  <c r="I72" i="7" s="1"/>
  <c r="D29" i="7" s="1"/>
  <c r="D21" i="7"/>
  <c r="D23" i="7" s="1"/>
  <c r="D24" i="7" s="1"/>
  <c r="D25" i="7" s="1"/>
  <c r="D27" i="7" s="1"/>
  <c r="D30" i="7"/>
  <c r="D22" i="7"/>
  <c r="D26" i="7" s="1"/>
  <c r="K14" i="1"/>
  <c r="K15" i="1" s="1"/>
  <c r="C24" i="7"/>
  <c r="C25" i="7" s="1"/>
  <c r="C27" i="7" s="1"/>
  <c r="C31" i="7" s="1"/>
  <c r="Q31" i="7"/>
  <c r="Q33" i="7" s="1"/>
  <c r="C12" i="7" s="1"/>
  <c r="F20" i="7"/>
  <c r="E22" i="7"/>
  <c r="E26" i="7" s="1"/>
  <c r="E30" i="7"/>
  <c r="E21" i="7"/>
  <c r="I27" i="1"/>
  <c r="I9" i="1"/>
  <c r="C27" i="1"/>
  <c r="C9" i="1"/>
  <c r="G27" i="1"/>
  <c r="G9" i="1"/>
  <c r="J27" i="1"/>
  <c r="J9" i="1"/>
  <c r="F27" i="1"/>
  <c r="F9" i="1"/>
  <c r="B27" i="1"/>
  <c r="B9" i="1"/>
  <c r="D27" i="1"/>
  <c r="D9" i="1"/>
  <c r="H27" i="1"/>
  <c r="H9" i="1"/>
  <c r="E27" i="1"/>
  <c r="E9" i="1"/>
  <c r="K27" i="1"/>
  <c r="K9" i="1"/>
  <c r="K33" i="1"/>
  <c r="M33" i="1" s="1"/>
  <c r="M22" i="1" s="1"/>
  <c r="B36" i="1"/>
  <c r="N31" i="1"/>
  <c r="N4" i="1" s="1"/>
  <c r="M31" i="1"/>
  <c r="M4" i="1" s="1"/>
  <c r="N17" i="1"/>
  <c r="D22" i="1"/>
  <c r="H33" i="1" s="1"/>
  <c r="I33" i="1"/>
  <c r="J33" i="1"/>
  <c r="M12" i="1"/>
  <c r="J71" i="7" l="1"/>
  <c r="J72" i="7" s="1"/>
  <c r="E29" i="7" s="1"/>
  <c r="D31" i="7"/>
  <c r="E32" i="7"/>
  <c r="H32" i="7"/>
  <c r="L32" i="7"/>
  <c r="D32" i="7"/>
  <c r="D33" i="7" s="1"/>
  <c r="K32" i="7"/>
  <c r="F32" i="7"/>
  <c r="J32" i="7"/>
  <c r="G32" i="7"/>
  <c r="M32" i="7"/>
  <c r="I32" i="7"/>
  <c r="E23" i="7"/>
  <c r="E24" i="7" s="1"/>
  <c r="E25" i="7" s="1"/>
  <c r="E27" i="7" s="1"/>
  <c r="E31" i="7" s="1"/>
  <c r="G20" i="7"/>
  <c r="K71" i="7"/>
  <c r="F22" i="7"/>
  <c r="F26" i="7" s="1"/>
  <c r="F30" i="7"/>
  <c r="F21" i="7"/>
  <c r="K32" i="1"/>
  <c r="M32" i="1" s="1"/>
  <c r="M8" i="1" s="1"/>
  <c r="M18" i="1" s="1"/>
  <c r="M20" i="1" s="1"/>
  <c r="M21" i="1" s="1"/>
  <c r="M23" i="1" s="1"/>
  <c r="J32" i="1"/>
  <c r="I32" i="1"/>
  <c r="H32" i="1"/>
  <c r="N33" i="1"/>
  <c r="N22" i="1" s="1"/>
  <c r="K72" i="7" l="1"/>
  <c r="F29" i="7" s="1"/>
  <c r="E33" i="7"/>
  <c r="F23" i="7"/>
  <c r="F24" i="7" s="1"/>
  <c r="F25" i="7" s="1"/>
  <c r="F27" i="7" s="1"/>
  <c r="F31" i="7" s="1"/>
  <c r="F33" i="7" s="1"/>
  <c r="H20" i="7"/>
  <c r="G22" i="7"/>
  <c r="G26" i="7" s="1"/>
  <c r="G21" i="7"/>
  <c r="G30" i="7"/>
  <c r="L71" i="7"/>
  <c r="L72" i="7" s="1"/>
  <c r="G29" i="7" s="1"/>
  <c r="N32" i="1"/>
  <c r="N8" i="1" s="1"/>
  <c r="N18" i="1" s="1"/>
  <c r="N20" i="1" s="1"/>
  <c r="N21" i="1" s="1"/>
  <c r="N23" i="1" s="1"/>
  <c r="M7" i="1"/>
  <c r="G23" i="7" l="1"/>
  <c r="G24" i="7" s="1"/>
  <c r="G25" i="7" s="1"/>
  <c r="G27" i="7" s="1"/>
  <c r="G31" i="7" s="1"/>
  <c r="G33" i="7" s="1"/>
  <c r="I20" i="7"/>
  <c r="H30" i="7"/>
  <c r="H22" i="7"/>
  <c r="H26" i="7" s="1"/>
  <c r="H21" i="7"/>
  <c r="M71" i="7"/>
  <c r="M72" i="7" s="1"/>
  <c r="H29" i="7" s="1"/>
  <c r="N7" i="1"/>
  <c r="H23" i="7" l="1"/>
  <c r="H24" i="7" s="1"/>
  <c r="J20" i="7"/>
  <c r="N71" i="7"/>
  <c r="N72" i="7" s="1"/>
  <c r="I29" i="7" s="1"/>
  <c r="I22" i="7"/>
  <c r="I26" i="7" s="1"/>
  <c r="I30" i="7"/>
  <c r="I21" i="7"/>
  <c r="I23" i="7" s="1"/>
  <c r="H25" i="7" l="1"/>
  <c r="H27" i="7" s="1"/>
  <c r="H31" i="7" s="1"/>
  <c r="H33" i="7" s="1"/>
  <c r="I24" i="7"/>
  <c r="I25" i="7" s="1"/>
  <c r="I27" i="7" s="1"/>
  <c r="I31" i="7" s="1"/>
  <c r="I33" i="7" s="1"/>
  <c r="K20" i="7"/>
  <c r="J30" i="7"/>
  <c r="J21" i="7"/>
  <c r="O71" i="7"/>
  <c r="O72" i="7" s="1"/>
  <c r="J29" i="7" s="1"/>
  <c r="J22" i="7"/>
  <c r="J26" i="7" s="1"/>
  <c r="J23" i="7" l="1"/>
  <c r="L20" i="7"/>
  <c r="K21" i="7"/>
  <c r="P71" i="7"/>
  <c r="P72" i="7" s="1"/>
  <c r="K29" i="7" s="1"/>
  <c r="K22" i="7"/>
  <c r="K26" i="7" s="1"/>
  <c r="K30" i="7"/>
  <c r="K23" i="7" l="1"/>
  <c r="K24" i="7" s="1"/>
  <c r="K25" i="7" s="1"/>
  <c r="K27" i="7" s="1"/>
  <c r="K31" i="7" s="1"/>
  <c r="K33" i="7" s="1"/>
  <c r="J24" i="7"/>
  <c r="J25" i="7" s="1"/>
  <c r="J27" i="7" s="1"/>
  <c r="J31" i="7" s="1"/>
  <c r="J33" i="7" s="1"/>
  <c r="M20" i="7"/>
  <c r="L21" i="7"/>
  <c r="Q71" i="7"/>
  <c r="Q72" i="7" s="1"/>
  <c r="L29" i="7" s="1"/>
  <c r="L22" i="7"/>
  <c r="L26" i="7" s="1"/>
  <c r="L30" i="7"/>
  <c r="L23" i="7" l="1"/>
  <c r="M30" i="7"/>
  <c r="R71" i="7"/>
  <c r="R72" i="7" s="1"/>
  <c r="M29" i="7" s="1"/>
  <c r="M22" i="7"/>
  <c r="M26" i="7" s="1"/>
  <c r="M21" i="7"/>
  <c r="M23" i="7" l="1"/>
  <c r="M24" i="7" s="1"/>
  <c r="M25" i="7" s="1"/>
  <c r="M27" i="7" s="1"/>
  <c r="M31" i="7" s="1"/>
  <c r="L24" i="7"/>
  <c r="L25" i="7" s="1"/>
  <c r="L27" i="7" s="1"/>
  <c r="L31" i="7" s="1"/>
  <c r="L33" i="7" s="1"/>
  <c r="C40" i="7" l="1"/>
  <c r="C41" i="7" s="1"/>
  <c r="C42" i="7" s="1"/>
  <c r="M33" i="7"/>
  <c r="C35" i="7" s="1"/>
  <c r="C43" i="7" l="1"/>
  <c r="C45" i="7" s="1"/>
  <c r="C50" i="7" l="1"/>
  <c r="E39" i="7"/>
  <c r="C62" i="7" l="1"/>
  <c r="C64" i="7" s="1"/>
  <c r="C55" i="7"/>
  <c r="C58" i="7" s="1"/>
  <c r="C59" i="7" l="1"/>
  <c r="E47"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Anvay</author>
  </authors>
  <commentList>
    <comment ref="C11" authorId="0" shapeId="0" xr:uid="{B4514FC8-22F7-4571-A857-373710F9918F}">
      <text>
        <r>
          <rPr>
            <sz val="9"/>
            <color indexed="81"/>
            <rFont val="Tahoma"/>
            <family val="2"/>
          </rPr>
          <t>5.0% chosen as Terminal Growth Rate below India’s long-term nominal GDP (9–10%).
Based on ~4% inflation + ~1% real growth beacause realistic &amp; sustainable for a mature company.</t>
        </r>
      </text>
    </comment>
    <comment ref="Q17" authorId="0" shapeId="0" xr:uid="{0EB46C40-728D-4A1B-BCBB-73277794082D}">
      <text>
        <r>
          <rPr>
            <b/>
            <sz val="9"/>
            <color indexed="81"/>
            <rFont val="Tahoma"/>
            <family val="2"/>
          </rPr>
          <t>Anvay:</t>
        </r>
        <r>
          <rPr>
            <sz val="9"/>
            <color indexed="81"/>
            <rFont val="Tahoma"/>
            <family val="2"/>
          </rPr>
          <t xml:space="preserve">
The Risk Free Rate (6.53%) represents the current yield on India’s 10 Year Government Bond. Using this as a proxy is standard practice since its long duration matches the long-term nature of the DCF model.</t>
        </r>
      </text>
    </comment>
    <comment ref="B18" authorId="0" shapeId="0" xr:uid="{40505EB1-B396-421E-A576-8AE0B3645308}">
      <text>
        <r>
          <rPr>
            <b/>
            <sz val="9"/>
            <color indexed="81"/>
            <rFont val="Tahoma"/>
            <family val="2"/>
          </rPr>
          <t>Anvay:</t>
        </r>
        <r>
          <rPr>
            <sz val="9"/>
            <color indexed="81"/>
            <rFont val="Tahoma"/>
            <family val="2"/>
          </rPr>
          <t xml:space="preserve">
The Mid Year convention is used. It assumes that cash flow comes in evenly throughout the year not just at the end which makes the valuation more realistic.</t>
        </r>
      </text>
    </comment>
    <comment ref="Q18" authorId="0" shapeId="0" xr:uid="{32AC73CD-F0A1-4DA3-AA67-FDE6C8FACF4C}">
      <text>
        <r>
          <rPr>
            <b/>
            <sz val="9"/>
            <color indexed="81"/>
            <rFont val="Tahoma"/>
            <family val="2"/>
          </rPr>
          <t>Anvay:</t>
        </r>
        <r>
          <rPr>
            <sz val="9"/>
            <color indexed="81"/>
            <rFont val="Tahoma"/>
            <family val="2"/>
          </rPr>
          <t xml:space="preserve">
The Equity Risk Premium (7.26%) is based on the India specific premium published by Professor Aswath Damodaran (NYU Stern). His data is considered a globally recognized and standard source for corporate valuation.</t>
        </r>
      </text>
    </comment>
    <comment ref="B19" authorId="0" shapeId="0" xr:uid="{9D6B97FC-469A-4DD0-9BB4-A041E6A2F64D}">
      <text>
        <r>
          <rPr>
            <b/>
            <sz val="9"/>
            <color indexed="81"/>
            <rFont val="Tahoma"/>
            <family val="2"/>
          </rPr>
          <t>Anvay:</t>
        </r>
        <r>
          <rPr>
            <sz val="9"/>
            <color indexed="81"/>
            <rFont val="Tahoma"/>
            <family val="2"/>
          </rPr>
          <t xml:space="preserve">
The growth forecast is taken from management’s April 2025 concall commentary (Volume Growth + Low Price Growth). At first, growth is higher because of premium products but later it gradually slows down due to the ‘Law of Large Numbers’ and finally reaches the Terminal Rate.</t>
        </r>
      </text>
    </comment>
    <comment ref="D19" authorId="0" shapeId="0" xr:uid="{71C8F60A-A72F-4CED-8CFF-1D82559EB26C}">
      <text>
        <r>
          <rPr>
            <b/>
            <sz val="9"/>
            <color indexed="81"/>
            <rFont val="Tahoma"/>
            <family val="2"/>
          </rPr>
          <t>Anvay:</t>
        </r>
        <r>
          <rPr>
            <sz val="9"/>
            <color indexed="81"/>
            <rFont val="Tahoma"/>
            <family val="2"/>
          </rPr>
          <t xml:space="preserve">
FY26 Growth (9%) — As per management, India business will grow ~8–10%, and new products in the U.S. will balance Revlimid loss.</t>
        </r>
      </text>
    </comment>
    <comment ref="H19" authorId="0" shapeId="0" xr:uid="{E903C0A5-4CC5-4BC6-8CB8-ABA6BA4668CE}">
      <text>
        <r>
          <rPr>
            <b/>
            <sz val="9"/>
            <color indexed="81"/>
            <rFont val="Tahoma"/>
            <family val="2"/>
          </rPr>
          <t>Anvay:</t>
        </r>
        <r>
          <rPr>
            <sz val="9"/>
            <color indexed="81"/>
            <rFont val="Tahoma"/>
            <family val="2"/>
          </rPr>
          <t xml:space="preserve">
U.S. sales target $1B by FY27 (respiratory launches), Biosimilars start FY29–30,
GLP-1 drugs may add ₹700–800 Cr from FY27.</t>
        </r>
      </text>
    </comment>
    <comment ref="M19" authorId="0" shapeId="0" xr:uid="{05FBA361-7E89-4167-9497-D3C57D6A1B13}">
      <text>
        <r>
          <rPr>
            <b/>
            <sz val="9"/>
            <color indexed="81"/>
            <rFont val="Tahoma"/>
            <family val="2"/>
          </rPr>
          <t>Anvay:</t>
        </r>
        <r>
          <rPr>
            <sz val="9"/>
            <color indexed="81"/>
            <rFont val="Tahoma"/>
            <family val="2"/>
          </rPr>
          <t xml:space="preserve">
Growth slowdown: No company grows 12% forever. Shows Cipla entering mature phase, moving towards ~6% terminal rate (normal in DCF).</t>
        </r>
      </text>
    </comment>
    <comment ref="Q19" authorId="0" shapeId="0" xr:uid="{98CC0C5E-52D6-479A-B07C-6FCFDABE47DD}">
      <text>
        <r>
          <rPr>
            <b/>
            <sz val="9"/>
            <color indexed="81"/>
            <rFont val="Tahoma"/>
            <family val="2"/>
          </rPr>
          <t>Anvay:</t>
        </r>
        <r>
          <rPr>
            <sz val="9"/>
            <color indexed="81"/>
            <rFont val="Tahoma"/>
            <family val="2"/>
          </rPr>
          <t xml:space="preserve">
eta (0.78) reflects CIPLA’s long term historical volatility compared to the market. A Beta below 1 means the stock is less volatile than the market which is expected for a stable, large cap Pharma company like Cipla. Source: https://www.topstockresearch.com/</t>
        </r>
      </text>
    </comment>
    <comment ref="D21" authorId="0" shapeId="0" xr:uid="{5C9A9465-B25C-464C-BD34-6DECB1780659}">
      <text>
        <r>
          <rPr>
            <b/>
            <sz val="9"/>
            <color indexed="81"/>
            <rFont val="Tahoma"/>
            <family val="2"/>
          </rPr>
          <t>Anvay:</t>
        </r>
        <r>
          <rPr>
            <sz val="9"/>
            <color indexed="81"/>
            <rFont val="Tahoma"/>
            <family val="2"/>
          </rPr>
          <t xml:space="preserve">
FY26 (Reset Year) – 24.5% (per mgmt; Revlimid impact)</t>
        </r>
      </text>
    </comment>
    <comment ref="E21" authorId="0" shapeId="0" xr:uid="{B16B226F-713E-4729-8E24-B8E5D32ACECF}">
      <text>
        <r>
          <rPr>
            <b/>
            <sz val="9"/>
            <color indexed="81"/>
            <rFont val="Tahoma"/>
            <family val="2"/>
          </rPr>
          <t>Anvay:</t>
        </r>
        <r>
          <rPr>
            <sz val="9"/>
            <color indexed="81"/>
            <rFont val="Tahoma"/>
            <family val="2"/>
          </rPr>
          <t xml:space="preserve">
FY27–30 – 26–27% (mix improves: US respiratory, biosimilars)</t>
        </r>
      </text>
    </comment>
    <comment ref="I21" authorId="0" shapeId="0" xr:uid="{289AFAD1-E66C-426B-A6EA-244DA9BD04BC}">
      <text>
        <r>
          <rPr>
            <b/>
            <sz val="9"/>
            <color indexed="81"/>
            <rFont val="Tahoma"/>
            <family val="2"/>
          </rPr>
          <t>Anvay:</t>
        </r>
        <r>
          <rPr>
            <sz val="9"/>
            <color indexed="81"/>
            <rFont val="Tahoma"/>
            <family val="2"/>
          </rPr>
          <t xml:space="preserve">
FY31–35 – 27→26% (stabilizes as competition rises, still strong).</t>
        </r>
      </text>
    </comment>
    <comment ref="D22" authorId="0" shapeId="0" xr:uid="{0E956B24-F3E0-4A3C-89D8-76A10B488A76}">
      <text>
        <r>
          <rPr>
            <b/>
            <sz val="9"/>
            <color indexed="81"/>
            <rFont val="Tahoma"/>
            <family val="2"/>
          </rPr>
          <t>Anvay:</t>
        </r>
        <r>
          <rPr>
            <sz val="9"/>
            <color indexed="81"/>
            <rFont val="Tahoma"/>
            <family val="2"/>
          </rPr>
          <t xml:space="preserve">
D&amp;A (4.0%).  Trend is stable around 4% of sales, so used 4.0% for future (rounded from 4.02%, which is standard practice).</t>
        </r>
      </text>
    </comment>
    <comment ref="Q23" authorId="0" shapeId="0" xr:uid="{A30AFFC6-5E17-446B-ABD9-6CE703D010A7}">
      <text>
        <r>
          <rPr>
            <b/>
            <sz val="9"/>
            <color indexed="81"/>
            <rFont val="Tahoma"/>
            <family val="2"/>
          </rPr>
          <t>Anvay:</t>
        </r>
        <r>
          <rPr>
            <sz val="9"/>
            <color indexed="81"/>
            <rFont val="Tahoma"/>
            <family val="2"/>
          </rPr>
          <t xml:space="preserve">
A 25% marginal tax rate is assumed, in line with India’s current corporate tax rates. This is also consistent with Cipla’s historical effective tax rate (around 25–26%), as shown in the Annual Report and Concall.
</t>
        </r>
      </text>
    </comment>
    <comment ref="U23" authorId="0" shapeId="0" xr:uid="{0874173E-8956-4EBC-923C-83110C5FD3C2}">
      <text>
        <r>
          <rPr>
            <b/>
            <sz val="9"/>
            <color indexed="81"/>
            <rFont val="Tahoma"/>
            <family val="2"/>
          </rPr>
          <t>Anvay:</t>
        </r>
        <r>
          <rPr>
            <sz val="9"/>
            <color indexed="81"/>
            <rFont val="Tahoma"/>
            <family val="2"/>
          </rPr>
          <t xml:space="preserve">
last 5 year Capex
Screener.in</t>
        </r>
      </text>
    </comment>
    <comment ref="Q26" authorId="0" shapeId="0" xr:uid="{8936C678-0F56-447F-8F51-14B99339D650}">
      <text>
        <r>
          <rPr>
            <b/>
            <sz val="9"/>
            <color indexed="81"/>
            <rFont val="Tahoma"/>
            <family val="2"/>
          </rPr>
          <t>Anvay:</t>
        </r>
        <r>
          <rPr>
            <sz val="9"/>
            <color indexed="81"/>
            <rFont val="Tahoma"/>
            <family val="2"/>
          </rPr>
          <t xml:space="preserve">
Market Cap
</t>
        </r>
        <r>
          <rPr>
            <sz val="8"/>
            <color indexed="81"/>
            <rFont val="Tahoma"/>
            <family val="2"/>
          </rPr>
          <t>Screener.in</t>
        </r>
      </text>
    </comment>
    <comment ref="Q27" authorId="0" shapeId="0" xr:uid="{F15C601F-3F6F-41AA-936D-E7043E0891F9}">
      <text>
        <r>
          <rPr>
            <b/>
            <sz val="9"/>
            <color indexed="81"/>
            <rFont val="Tahoma"/>
            <family val="2"/>
          </rPr>
          <t>Anvay:</t>
        </r>
        <r>
          <rPr>
            <sz val="9"/>
            <color indexed="81"/>
            <rFont val="Tahoma"/>
            <family val="2"/>
          </rPr>
          <t xml:space="preserve">
Debt
</t>
        </r>
        <r>
          <rPr>
            <sz val="8"/>
            <color indexed="81"/>
            <rFont val="Tahoma"/>
            <family val="2"/>
          </rPr>
          <t>Screener.in</t>
        </r>
      </text>
    </comment>
    <comment ref="D30" authorId="0" shapeId="0" xr:uid="{7FA52328-1B3A-422A-A92C-6BCAE257D031}">
      <text>
        <r>
          <rPr>
            <b/>
            <sz val="9"/>
            <color indexed="81"/>
            <rFont val="Tahoma"/>
            <family val="2"/>
          </rPr>
          <t>Anvay:</t>
        </r>
        <r>
          <rPr>
            <sz val="9"/>
            <color indexed="81"/>
            <rFont val="Tahoma"/>
            <family val="2"/>
          </rPr>
          <t xml:space="preserve">
Capex (% of Sales):
Better to project as % of revenue — as sales grow, capex grows too. Historical data used to calculate % of sales.
</t>
        </r>
      </text>
    </comment>
    <comment ref="F39" authorId="0" shapeId="0" xr:uid="{C1C2EAF2-E929-4C63-9DFD-6A8457F5AF66}">
      <text>
        <r>
          <rPr>
            <b/>
            <sz val="9"/>
            <color indexed="81"/>
            <rFont val="Tahoma"/>
            <family val="2"/>
          </rPr>
          <t>Anvay:</t>
        </r>
        <r>
          <rPr>
            <sz val="9"/>
            <color indexed="81"/>
            <rFont val="Tahoma"/>
            <family val="2"/>
          </rPr>
          <t xml:space="preserve">
Wacc
</t>
        </r>
      </text>
    </comment>
    <comment ref="E40" authorId="0" shapeId="0" xr:uid="{32ACE949-DAE2-4A26-AE66-D5F177D6E9C0}">
      <text>
        <r>
          <rPr>
            <b/>
            <sz val="9"/>
            <color indexed="81"/>
            <rFont val="Tahoma"/>
            <family val="2"/>
          </rPr>
          <t>Anvay:</t>
        </r>
        <r>
          <rPr>
            <sz val="9"/>
            <color indexed="81"/>
            <rFont val="Tahoma"/>
            <family val="2"/>
          </rPr>
          <t xml:space="preserve">
Terminal Grwoth Rate
</t>
        </r>
      </text>
    </comment>
    <comment ref="Q40" authorId="0" shapeId="0" xr:uid="{3F292E20-2CAE-4448-B596-4E6A8C88D889}">
      <text>
        <r>
          <rPr>
            <b/>
            <sz val="9"/>
            <color indexed="81"/>
            <rFont val="Tahoma"/>
            <family val="2"/>
          </rPr>
          <t>Anvay:</t>
        </r>
        <r>
          <rPr>
            <sz val="9"/>
            <color indexed="81"/>
            <rFont val="Tahoma"/>
            <family val="2"/>
          </rPr>
          <t xml:space="preserve">
From Cipla Annual Report 2025</t>
        </r>
      </text>
    </comment>
    <comment ref="Q41" authorId="0" shapeId="0" xr:uid="{F48C4E31-1480-4BB9-984D-CD9C79C45259}">
      <text>
        <r>
          <rPr>
            <b/>
            <sz val="9"/>
            <color indexed="81"/>
            <rFont val="Tahoma"/>
            <family val="2"/>
          </rPr>
          <t>Anvay:</t>
        </r>
        <r>
          <rPr>
            <sz val="9"/>
            <color indexed="81"/>
            <rFont val="Tahoma"/>
            <family val="2"/>
          </rPr>
          <t xml:space="preserve">
From Cipla Annual Report 2025
</t>
        </r>
      </text>
    </comment>
    <comment ref="C42" authorId="0" shapeId="0" xr:uid="{A5660251-6443-4EF5-A243-F00AC3E893EE}">
      <text>
        <r>
          <rPr>
            <b/>
            <sz val="9"/>
            <color indexed="81"/>
            <rFont val="Tahoma"/>
            <family val="2"/>
          </rPr>
          <t>Anvay:</t>
        </r>
        <r>
          <rPr>
            <sz val="9"/>
            <color indexed="81"/>
            <rFont val="Tahoma"/>
            <family val="2"/>
          </rPr>
          <t xml:space="preserve">
</t>
        </r>
        <r>
          <rPr>
            <b/>
            <sz val="9"/>
            <color indexed="81"/>
            <rFont val="Tahoma"/>
            <family val="2"/>
          </rPr>
          <t>Terminal Value Discount:</t>
        </r>
        <r>
          <rPr>
            <sz val="9"/>
            <color indexed="81"/>
            <rFont val="Tahoma"/>
            <family val="2"/>
          </rPr>
          <t xml:space="preserve">
FCFF is mid-year → discount ^9.5, But Terminal Value is end of FY35 → discount ^10, not ^9.5.</t>
        </r>
      </text>
    </comment>
    <comment ref="C47" authorId="0" shapeId="0" xr:uid="{0A309299-3E24-44D1-85DB-D67798AED5CD}">
      <text>
        <r>
          <rPr>
            <b/>
            <sz val="9"/>
            <color indexed="81"/>
            <rFont val="Tahoma"/>
            <family val="2"/>
          </rPr>
          <t>Anvay:</t>
        </r>
        <r>
          <rPr>
            <sz val="9"/>
            <color indexed="81"/>
            <rFont val="Tahoma"/>
            <family val="2"/>
          </rPr>
          <t xml:space="preserve">
Investment
</t>
        </r>
      </text>
    </comment>
    <comment ref="C54" authorId="0" shapeId="0" xr:uid="{BC8FD218-BC4D-400A-940F-EBD71728001A}">
      <text>
        <r>
          <rPr>
            <b/>
            <sz val="9"/>
            <color indexed="81"/>
            <rFont val="Tahoma"/>
            <family val="2"/>
          </rPr>
          <t>Anvay:</t>
        </r>
        <r>
          <rPr>
            <sz val="9"/>
            <color indexed="81"/>
            <rFont val="Tahoma"/>
            <family val="2"/>
          </rPr>
          <t xml:space="preserve">
Including EASAR and ESOP according to annual report</t>
        </r>
      </text>
    </comment>
    <comment ref="B68" authorId="0" shapeId="0" xr:uid="{573587B8-7126-4356-9BF8-B169EE05DC91}">
      <text>
        <r>
          <rPr>
            <b/>
            <sz val="9"/>
            <color indexed="81"/>
            <rFont val="Tahoma"/>
            <family val="2"/>
          </rPr>
          <t>Anvay:</t>
        </r>
        <r>
          <rPr>
            <sz val="9"/>
            <color indexed="81"/>
            <rFont val="Tahoma"/>
            <family val="2"/>
          </rPr>
          <t xml:space="preserve">
Balance Sheet Trade Recievable
</t>
        </r>
      </text>
    </comment>
    <comment ref="B69" authorId="0" shapeId="0" xr:uid="{107CD325-9547-4D2B-BFE4-B718AA69E253}">
      <text>
        <r>
          <rPr>
            <b/>
            <sz val="9"/>
            <color indexed="81"/>
            <rFont val="Tahoma"/>
            <family val="2"/>
          </rPr>
          <t>Anvay:</t>
        </r>
        <r>
          <rPr>
            <sz val="9"/>
            <color indexed="81"/>
            <rFont val="Tahoma"/>
            <family val="2"/>
          </rPr>
          <t xml:space="preserve">
Balance Sheet Trade Payables
</t>
        </r>
      </text>
    </comment>
    <comment ref="B70" authorId="0" shapeId="0" xr:uid="{A64B03D4-B8F7-4685-B9D9-DB43649B9485}">
      <text>
        <r>
          <rPr>
            <b/>
            <sz val="9"/>
            <color indexed="81"/>
            <rFont val="Tahoma"/>
            <family val="2"/>
          </rPr>
          <t>Anvay:</t>
        </r>
        <r>
          <rPr>
            <sz val="9"/>
            <color indexed="81"/>
            <rFont val="Tahoma"/>
            <family val="2"/>
          </rPr>
          <t xml:space="preserve">
Balance Sheet Inventoris
</t>
        </r>
      </text>
    </comment>
  </commentList>
</comments>
</file>

<file path=xl/sharedStrings.xml><?xml version="1.0" encoding="utf-8"?>
<sst xmlns="http://schemas.openxmlformats.org/spreadsheetml/2006/main" count="248" uniqueCount="193">
  <si>
    <t>COMPANY NAME</t>
  </si>
  <si>
    <t>SCREENER.IN</t>
  </si>
  <si>
    <t>Narration</t>
  </si>
  <si>
    <t>Trailing</t>
  </si>
  <si>
    <t>Best Case</t>
  </si>
  <si>
    <t>Worst Case</t>
  </si>
  <si>
    <t>Sales</t>
  </si>
  <si>
    <t>Expenses</t>
  </si>
  <si>
    <t>Operating Profit</t>
  </si>
  <si>
    <t>Other Income</t>
  </si>
  <si>
    <t>Depreciation</t>
  </si>
  <si>
    <t>Interest</t>
  </si>
  <si>
    <t>Profit before tax</t>
  </si>
  <si>
    <t>Tax</t>
  </si>
  <si>
    <t>Net profit</t>
  </si>
  <si>
    <t>RATIOS:</t>
  </si>
  <si>
    <t>Price to earning</t>
  </si>
  <si>
    <t>Dividend Payout</t>
  </si>
  <si>
    <t>OPM</t>
  </si>
  <si>
    <t>TRENDS:</t>
  </si>
  <si>
    <t>BEST</t>
  </si>
  <si>
    <t>WORST</t>
  </si>
  <si>
    <t>Sales Growth</t>
  </si>
  <si>
    <t>Price to Earning</t>
  </si>
  <si>
    <t>Equity Share Capital</t>
  </si>
  <si>
    <t>Reserves</t>
  </si>
  <si>
    <t>Total</t>
  </si>
  <si>
    <t>Net Block</t>
  </si>
  <si>
    <t>Capital Work in Progress</t>
  </si>
  <si>
    <t>Investments</t>
  </si>
  <si>
    <t>Working Capital</t>
  </si>
  <si>
    <t>Face Value</t>
  </si>
  <si>
    <t>Cash from Operating Activity</t>
  </si>
  <si>
    <t>Cash from Investing Activity</t>
  </si>
  <si>
    <t>Cash from Financing Activity</t>
  </si>
  <si>
    <t>Net Cash Flow</t>
  </si>
  <si>
    <t>PLEASE DO NOT MAKE ANY CHANGES TO THIS SHEET</t>
  </si>
  <si>
    <t>PROFIT &amp; LOSS</t>
  </si>
  <si>
    <t>Report Date</t>
  </si>
  <si>
    <t>Quarters</t>
  </si>
  <si>
    <t>BALANCE SHEET</t>
  </si>
  <si>
    <t>CASH FLOW:</t>
  </si>
  <si>
    <t>Number of shares</t>
  </si>
  <si>
    <t>Current Price</t>
  </si>
  <si>
    <t>Debtors</t>
  </si>
  <si>
    <t>Inventory</t>
  </si>
  <si>
    <t>Debtor Days</t>
  </si>
  <si>
    <t>Inventory Turnover</t>
  </si>
  <si>
    <t>EPS</t>
  </si>
  <si>
    <t>Price</t>
  </si>
  <si>
    <t>Return on Equity</t>
  </si>
  <si>
    <t>Return on Capital Emp</t>
  </si>
  <si>
    <t>LATEST VERSION</t>
  </si>
  <si>
    <t>CURRENT VERSION</t>
  </si>
  <si>
    <t>CIPLA LTD</t>
  </si>
  <si>
    <t>META</t>
  </si>
  <si>
    <t>10 YEARS</t>
  </si>
  <si>
    <t>7 YEARS</t>
  </si>
  <si>
    <t>5 YEARS</t>
  </si>
  <si>
    <t>3 YEARS</t>
  </si>
  <si>
    <t>RECENT</t>
  </si>
  <si>
    <t>Dividend Amount</t>
  </si>
  <si>
    <t>Borrowings</t>
  </si>
  <si>
    <t>Other Liabilities</t>
  </si>
  <si>
    <t>Other Assets</t>
  </si>
  <si>
    <t>No. of Equity Shares</t>
  </si>
  <si>
    <t>New Bonus Shares</t>
  </si>
  <si>
    <t>DERIVED:</t>
  </si>
  <si>
    <t>PRICE:</t>
  </si>
  <si>
    <t>Receivables</t>
  </si>
  <si>
    <t>Market Capitalization</t>
  </si>
  <si>
    <t>Raw Material Cost</t>
  </si>
  <si>
    <t>Change in Inventory</t>
  </si>
  <si>
    <t>Power and Fuel</t>
  </si>
  <si>
    <t>Other Mfr. Exp</t>
  </si>
  <si>
    <t>Employee Cost</t>
  </si>
  <si>
    <t>Selling and admin</t>
  </si>
  <si>
    <t>Other Expenses</t>
  </si>
  <si>
    <t>Cash &amp; Bank</t>
  </si>
  <si>
    <t>Face value</t>
  </si>
  <si>
    <t>Adjusted Equity Shares in Cr</t>
  </si>
  <si>
    <t>Depreciation on Sales %</t>
  </si>
  <si>
    <t>Average</t>
  </si>
  <si>
    <t>EBITDA</t>
  </si>
  <si>
    <t>EBITDA Margin</t>
  </si>
  <si>
    <t>EBIT</t>
  </si>
  <si>
    <t>EBIT Margin</t>
  </si>
  <si>
    <t>Cipla LTD</t>
  </si>
  <si>
    <t>(BSE: 500087 | NSE: CIPLA)</t>
  </si>
  <si>
    <t>Discounted Cash Flow Model</t>
  </si>
  <si>
    <t>Tiker Name (NSE)</t>
  </si>
  <si>
    <t>Key Assumptions</t>
  </si>
  <si>
    <t>Terminal Growth</t>
  </si>
  <si>
    <t>WACC</t>
  </si>
  <si>
    <t>CIPLA</t>
  </si>
  <si>
    <t>All Figures In Cr (₹)</t>
  </si>
  <si>
    <t>Actual</t>
  </si>
  <si>
    <t>Forecast Period</t>
  </si>
  <si>
    <t>Period (T)</t>
  </si>
  <si>
    <t>#</t>
  </si>
  <si>
    <t>Mid Year</t>
  </si>
  <si>
    <t>Growth</t>
  </si>
  <si>
    <t>Revenue</t>
  </si>
  <si>
    <t>Less: Depreciation &amp; Amortization</t>
  </si>
  <si>
    <t>Less: Tax</t>
  </si>
  <si>
    <t>Add: Depreciation &amp; Amortization</t>
  </si>
  <si>
    <t>Less: Reinvestment</t>
  </si>
  <si>
    <t>-Change in Working Capital</t>
  </si>
  <si>
    <t>-Capex</t>
  </si>
  <si>
    <t>Free Cash Flow to Firm (FCFF)</t>
  </si>
  <si>
    <t>PV of Cash Flow</t>
  </si>
  <si>
    <t>Present Value of FCFF</t>
  </si>
  <si>
    <t>Terminal Value</t>
  </si>
  <si>
    <t>Terminal Growth Rate</t>
  </si>
  <si>
    <t>10th Year FCF (1+g)</t>
  </si>
  <si>
    <t>Present Value of Terminal Value</t>
  </si>
  <si>
    <t>Enterprise Value (Stage 1 + 2)</t>
  </si>
  <si>
    <t xml:space="preserve">Enterprise Value </t>
  </si>
  <si>
    <t>Add: Cash</t>
  </si>
  <si>
    <t xml:space="preserve">Add: Other Non Operating Assets </t>
  </si>
  <si>
    <t>Less: Debt</t>
  </si>
  <si>
    <t xml:space="preserve">Less: Minority Interest </t>
  </si>
  <si>
    <t>DCF Value (Equity Value)</t>
  </si>
  <si>
    <t>No of Share</t>
  </si>
  <si>
    <t>Value per Share</t>
  </si>
  <si>
    <t>Current Market Price</t>
  </si>
  <si>
    <t xml:space="preserve">Reveres DCF </t>
  </si>
  <si>
    <t>DCF Value</t>
  </si>
  <si>
    <t>Current Market Cap</t>
  </si>
  <si>
    <t xml:space="preserve">DCF as % Market Cap </t>
  </si>
  <si>
    <t>Change in Working capital</t>
  </si>
  <si>
    <t>Payables</t>
  </si>
  <si>
    <t>Other (+)</t>
  </si>
  <si>
    <t>Change in Working Capital</t>
  </si>
  <si>
    <t>Working Capital % Sales</t>
  </si>
  <si>
    <t>Median</t>
  </si>
  <si>
    <t>Calculation of Discount Rate</t>
  </si>
  <si>
    <t>Calculation of Cost (Ke)</t>
  </si>
  <si>
    <t>Risk Free Rate</t>
  </si>
  <si>
    <t>ERP</t>
  </si>
  <si>
    <t>Beta</t>
  </si>
  <si>
    <t>Cost of Equity (Ke)</t>
  </si>
  <si>
    <t>Cost of Debt (Pre Tax)</t>
  </si>
  <si>
    <t>Tax Rate (Marginal Tax Rate)</t>
  </si>
  <si>
    <t>Cost of Debt - Kd (Post Tax)</t>
  </si>
  <si>
    <t>Total Market Value of Equity</t>
  </si>
  <si>
    <t>Total Market Value of Debt</t>
  </si>
  <si>
    <t>Total Market Value of Capital</t>
  </si>
  <si>
    <t>Equity / Total Capital</t>
  </si>
  <si>
    <t>Debt / Total Capital</t>
  </si>
  <si>
    <t xml:space="preserve"> </t>
  </si>
  <si>
    <t>NOPAT</t>
  </si>
  <si>
    <t>NOPAT + Dep &amp; Amrt</t>
  </si>
  <si>
    <t xml:space="preserve">Sales </t>
  </si>
  <si>
    <t>Year</t>
  </si>
  <si>
    <t>Capex</t>
  </si>
  <si>
    <t>Margin</t>
  </si>
  <si>
    <t>Discount Rate (r) WACC</t>
  </si>
  <si>
    <t>Outstanding Shares</t>
  </si>
  <si>
    <t>ESOPS</t>
  </si>
  <si>
    <t>Total No. of Share</t>
  </si>
  <si>
    <t>Equity Value per Share</t>
  </si>
  <si>
    <t>ESAR</t>
  </si>
  <si>
    <t>Sensitivity Analysis Enterprise Value</t>
  </si>
  <si>
    <t>Sensitivity Analysis Equity Value per Share</t>
  </si>
  <si>
    <t>Result</t>
  </si>
  <si>
    <t>Overvalued or Undervalued By</t>
  </si>
  <si>
    <t>Intrinsic Value per Share</t>
  </si>
  <si>
    <t>Conclusion</t>
  </si>
  <si>
    <t>The model shows Cipla is overvalued by 36.88%. This means the stock is trading significantly higher than its calculated fair value.</t>
  </si>
  <si>
    <t>Overview</t>
  </si>
  <si>
    <t>Valuation Summary</t>
  </si>
  <si>
    <t>Market’s Premium</t>
  </si>
  <si>
    <t>Model’s View</t>
  </si>
  <si>
    <t>Management Strategy Fit</t>
  </si>
  <si>
    <t>Important Assumptions</t>
  </si>
  <si>
    <t>Discount Rate (WACC)</t>
  </si>
  <si>
    <t>Revenue Growth</t>
  </si>
  <si>
    <t>Methodology</t>
  </si>
  <si>
    <t>Valuation Method</t>
  </si>
  <si>
    <t>A two stage Discounted Cash Flow (DCF) model was used.</t>
  </si>
  <si>
    <t>Free Cash Flow to the Firm (FCFF) was projected for a 10 year period (FY26 - FY35).</t>
  </si>
  <si>
    <t>Cash Flow Timing</t>
  </si>
  <si>
    <r>
      <t>Mid Year convention</t>
    </r>
    <r>
      <rPr>
        <sz val="11"/>
        <color theme="1"/>
        <rFont val="Calibri"/>
        <family val="2"/>
        <scheme val="minor"/>
      </rPr>
      <t xml:space="preserve"> was applied for more realistic discounting.</t>
    </r>
  </si>
  <si>
    <t xml:space="preserve">₹1,584 (As of October 2025) </t>
  </si>
  <si>
    <t>Why this 36.88% Overvaluation?</t>
  </si>
  <si>
    <r>
      <t xml:space="preserve">The market is willing to pay extra for Cipla because a DCF model cannot fully capture: 
1. </t>
    </r>
    <r>
      <rPr>
        <b/>
        <sz val="11"/>
        <color theme="1"/>
        <rFont val="Calibri"/>
        <family val="2"/>
        <scheme val="minor"/>
      </rPr>
      <t>Strong Pipeline Hype:</t>
    </r>
    <r>
      <rPr>
        <sz val="11"/>
        <color theme="1"/>
        <rFont val="Calibri"/>
        <family val="2"/>
        <scheme val="minor"/>
      </rPr>
      <t xml:space="preserve"> The market is very excited about Cipla's U.S. pipeline (like generic Advair &amp; Symbicort) and its entry into the high-growth GLP-1 (obesity drug) market. 
2. </t>
    </r>
    <r>
      <rPr>
        <b/>
        <sz val="11"/>
        <color theme="1"/>
        <rFont val="Calibri"/>
        <family val="2"/>
        <scheme val="minor"/>
      </rPr>
      <t>Management's $1B Target:</t>
    </r>
    <r>
      <rPr>
        <sz val="11"/>
        <color theme="1"/>
        <rFont val="Calibri"/>
        <family val="2"/>
        <scheme val="minor"/>
      </rPr>
      <t xml:space="preserve"> Investors are pricing in the successful execution of management's goal to hit $1 Billion in US sales by FY27. 
3. </t>
    </r>
    <r>
      <rPr>
        <b/>
        <sz val="11"/>
        <color theme="1"/>
        <rFont val="Calibri"/>
        <family val="2"/>
        <scheme val="minor"/>
      </rPr>
      <t>Defensive Stock:</t>
    </r>
    <r>
      <rPr>
        <sz val="11"/>
        <color theme="1"/>
        <rFont val="Calibri"/>
        <family val="2"/>
        <scheme val="minor"/>
      </rPr>
      <t xml:space="preserve"> Cipla is a "safe-haven" pharma stock. Investors see it as stable, and demand stays strong even in tough times, pushing up the price.</t>
    </r>
  </si>
  <si>
    <t>The DCF model only looks at future cash flows. The 36.88% gap shows how much more the market values Cipla for its "pipeline potential" and "safety" than your model's financial forecasts suggest.</t>
  </si>
  <si>
    <r>
      <t xml:space="preserve">Starts at </t>
    </r>
    <r>
      <rPr>
        <b/>
        <sz val="11"/>
        <color theme="1"/>
        <rFont val="Calibri"/>
        <family val="2"/>
        <scheme val="minor"/>
      </rPr>
      <t>9.0%</t>
    </r>
    <r>
      <rPr>
        <sz val="11"/>
        <color theme="1"/>
        <rFont val="Calibri"/>
        <family val="2"/>
        <scheme val="minor"/>
      </rPr>
      <t xml:space="preserve"> (FY26), grows to </t>
    </r>
    <r>
      <rPr>
        <b/>
        <sz val="11"/>
        <color theme="1"/>
        <rFont val="Calibri"/>
        <family val="2"/>
        <scheme val="minor"/>
      </rPr>
      <t>14.0%</t>
    </r>
    <r>
      <rPr>
        <sz val="11"/>
        <color theme="1"/>
        <rFont val="Calibri"/>
        <family val="2"/>
        <scheme val="minor"/>
      </rPr>
      <t xml:space="preserve"> (FY27), and slowly tapers to </t>
    </r>
    <r>
      <rPr>
        <b/>
        <sz val="11"/>
        <color theme="1"/>
        <rFont val="Calibri"/>
        <family val="2"/>
        <scheme val="minor"/>
      </rPr>
      <t>6.0%</t>
    </r>
    <r>
      <rPr>
        <sz val="11"/>
        <color theme="1"/>
        <rFont val="Calibri"/>
        <family val="2"/>
        <scheme val="minor"/>
      </rPr>
      <t xml:space="preserve"> (FY35). This reflects management's 3-stage plan: 
A short-term normalization (FY26), 
A high-growth pipeline "breakout" (FY27-30), and 
A mature, stable growth rate in the long run.</t>
    </r>
  </si>
  <si>
    <r>
      <t>5.0%</t>
    </r>
    <r>
      <rPr>
        <sz val="11"/>
        <color theme="1"/>
        <rFont val="Calibri"/>
        <family val="2"/>
        <scheme val="minor"/>
      </rPr>
      <t>. This is the stable, long-term rate we assume Cipla will grow at forever, based on long-term inflation and real GDP growth.</t>
    </r>
  </si>
  <si>
    <r>
      <t xml:space="preserve">All assumptions match management's guidance. This Model used their official </t>
    </r>
    <r>
      <rPr>
        <b/>
        <sz val="11"/>
        <color theme="1"/>
        <rFont val="Calibri"/>
        <family val="2"/>
        <scheme val="minor"/>
      </rPr>
      <t>FY26 EBITDA margin guidance</t>
    </r>
    <r>
      <rPr>
        <sz val="11"/>
        <color theme="1"/>
        <rFont val="Calibri"/>
        <family val="2"/>
        <scheme val="minor"/>
      </rPr>
      <t xml:space="preserve">  (23.5%-24.5%). Model revenue growth is built around their $1B US sales target and the </t>
    </r>
    <r>
      <rPr>
        <b/>
        <sz val="11"/>
        <color theme="1"/>
        <rFont val="Calibri"/>
        <family val="2"/>
        <scheme val="minor"/>
      </rPr>
      <t>FY29-30 biosimilar launch timeline</t>
    </r>
    <r>
      <rPr>
        <sz val="11"/>
        <color theme="1"/>
        <rFont val="Calibri"/>
        <family val="2"/>
        <scheme val="minor"/>
      </rPr>
      <t>. Model reflects their plan: a short-term reset (FY26) followed by high-growth pipeline execution (FY27-30).</t>
    </r>
  </si>
  <si>
    <r>
      <t xml:space="preserve">12.17%. This is the "engine" of the model used to discount all future cash flows. It's built from: 
</t>
    </r>
    <r>
      <rPr>
        <b/>
        <sz val="11"/>
        <color theme="1"/>
        <rFont val="Calibri"/>
        <family val="2"/>
        <scheme val="minor"/>
      </rPr>
      <t>Risk-Free Rate</t>
    </r>
    <r>
      <rPr>
        <sz val="11"/>
        <color theme="1"/>
        <rFont val="Calibri"/>
        <family val="2"/>
        <scheme val="minor"/>
      </rPr>
      <t xml:space="preserve">: 6.53%, based on the 10-Year Indian Government Bond yield.
</t>
    </r>
    <r>
      <rPr>
        <b/>
        <sz val="11"/>
        <color theme="1"/>
        <rFont val="Calibri"/>
        <family val="2"/>
        <scheme val="minor"/>
      </rPr>
      <t>Equity Risk Premium</t>
    </r>
    <r>
      <rPr>
        <sz val="11"/>
        <color theme="1"/>
        <rFont val="Calibri"/>
        <family val="2"/>
        <scheme val="minor"/>
      </rPr>
      <t xml:space="preserve">: 7.26%, Sourced from Prof. A. Damodaran's data for India. 
</t>
    </r>
    <r>
      <rPr>
        <b/>
        <sz val="11"/>
        <color theme="1"/>
        <rFont val="Calibri"/>
        <family val="2"/>
        <scheme val="minor"/>
      </rPr>
      <t>Beta</t>
    </r>
    <r>
      <rPr>
        <sz val="11"/>
        <color theme="1"/>
        <rFont val="Calibri"/>
        <family val="2"/>
        <scheme val="minor"/>
      </rPr>
      <t>: 0.78. Represents Cipla's low historical volatility compared to the overall market (Source: https://www.topstockresearch.com/)</t>
    </r>
  </si>
  <si>
    <t>Working Note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</si>
</sst>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3" formatCode="_(* #,##0.00_);_(* \(#,##0.00\);_(* &quot;-&quot;??_);_(@_)"/>
    <numFmt numFmtId="164" formatCode="_ * #,##0.00_ ;_ * \-#,##0.00_ ;_ * &quot;-&quot;??_ ;_ @_ "/>
    <numFmt numFmtId="165" formatCode="[$-409]mmm\-yy;@"/>
    <numFmt numFmtId="166" formatCode="0.0%"/>
    <numFmt numFmtId="167" formatCode="\₹\ #,##0;\(#,##0\)"/>
    <numFmt numFmtId="168" formatCode="\₹\ #,##0_);\(#,##0\)"/>
    <numFmt numFmtId="169" formatCode="#,##0;\(#,##0\)"/>
    <numFmt numFmtId="170" formatCode="\₹\ #,##0.00_);\(#,##0.00\)"/>
  </numFmts>
  <fonts count="32" x14ac:knownFonts="1">
    <font>
      <sz val="11"/>
      <color theme="1"/>
      <name val="Calibri"/>
      <family val="2"/>
      <scheme val="minor"/>
    </font>
    <font>
      <sz val="11"/>
      <color theme="1"/>
      <name val="Calibri"/>
      <family val="2"/>
    </font>
    <font>
      <sz val="11"/>
      <color theme="1"/>
      <name val="Calibri"/>
      <family val="2"/>
    </font>
    <font>
      <b/>
      <sz val="11"/>
      <color theme="1"/>
      <name val="Calibri"/>
      <family val="2"/>
      <scheme val="minor"/>
    </font>
    <font>
      <b/>
      <sz val="11"/>
      <color theme="0"/>
      <name val="Calibri"/>
      <family val="2"/>
      <scheme val="minor"/>
    </font>
    <font>
      <sz val="11"/>
      <color theme="1"/>
      <name val="Calibri"/>
      <family val="2"/>
      <scheme val="minor"/>
    </font>
    <font>
      <u/>
      <sz val="11"/>
      <color theme="10"/>
      <name val="Calibri"/>
      <family val="2"/>
    </font>
    <font>
      <sz val="11"/>
      <color theme="0"/>
      <name val="Calibri"/>
      <family val="2"/>
      <scheme val="minor"/>
    </font>
    <font>
      <b/>
      <sz val="16"/>
      <color theme="1"/>
      <name val="Calibri"/>
      <family val="2"/>
      <scheme val="minor"/>
    </font>
    <font>
      <b/>
      <sz val="11"/>
      <color rgb="FFFF0000"/>
      <name val="Calibri"/>
      <family val="2"/>
      <scheme val="minor"/>
    </font>
    <font>
      <sz val="11"/>
      <name val="Calibri"/>
      <family val="2"/>
      <scheme val="minor"/>
    </font>
    <font>
      <b/>
      <sz val="11"/>
      <color theme="0"/>
      <name val="Calibri"/>
      <family val="2"/>
    </font>
    <font>
      <b/>
      <sz val="11"/>
      <color theme="1"/>
      <name val="Calibri"/>
      <family val="2"/>
    </font>
    <font>
      <b/>
      <sz val="11"/>
      <color rgb="FF0000FF"/>
      <name val="Calibri"/>
      <family val="2"/>
      <scheme val="minor"/>
    </font>
    <font>
      <b/>
      <i/>
      <sz val="11"/>
      <color theme="3" tint="0.39997558519241921"/>
      <name val="Calibri"/>
      <family val="2"/>
      <scheme val="minor"/>
    </font>
    <font>
      <sz val="11"/>
      <color theme="3" tint="0.39997558519241921"/>
      <name val="Calibri"/>
      <family val="2"/>
      <scheme val="minor"/>
    </font>
    <font>
      <i/>
      <sz val="11"/>
      <color theme="3" tint="0.39997558519241921"/>
      <name val="Calibri"/>
      <family val="2"/>
      <scheme val="minor"/>
    </font>
    <font>
      <b/>
      <sz val="11"/>
      <color theme="3" tint="0.39997558519241921"/>
      <name val="Calibri"/>
      <family val="2"/>
      <scheme val="minor"/>
    </font>
    <font>
      <i/>
      <sz val="11"/>
      <color theme="1"/>
      <name val="Calibri"/>
      <family val="2"/>
      <scheme val="minor"/>
    </font>
    <font>
      <b/>
      <sz val="18"/>
      <color theme="0"/>
      <name val="Calibri"/>
      <family val="2"/>
      <scheme val="minor"/>
    </font>
    <font>
      <sz val="11"/>
      <color rgb="FF0000FF"/>
      <name val="Calibri"/>
      <family val="2"/>
      <scheme val="minor"/>
    </font>
    <font>
      <b/>
      <sz val="9"/>
      <color indexed="81"/>
      <name val="Tahoma"/>
      <family val="2"/>
    </font>
    <font>
      <sz val="9"/>
      <color indexed="81"/>
      <name val="Tahoma"/>
      <family val="2"/>
    </font>
    <font>
      <i/>
      <sz val="10"/>
      <color theme="3" tint="0.59999389629810485"/>
      <name val="Calibri"/>
      <family val="2"/>
      <scheme val="minor"/>
    </font>
    <font>
      <sz val="11"/>
      <color rgb="FF0000FF"/>
      <name val="Calibri"/>
      <family val="2"/>
    </font>
    <font>
      <sz val="8"/>
      <color indexed="81"/>
      <name val="Tahoma"/>
      <family val="2"/>
    </font>
    <font>
      <b/>
      <sz val="16"/>
      <color theme="0"/>
      <name val="Calibri"/>
      <family val="2"/>
      <scheme val="minor"/>
    </font>
    <font>
      <b/>
      <sz val="12"/>
      <color theme="1"/>
      <name val="Calibri"/>
      <family val="2"/>
      <scheme val="minor"/>
    </font>
    <font>
      <b/>
      <sz val="11"/>
      <color rgb="FF3333FF"/>
      <name val="Calibri"/>
      <family val="2"/>
    </font>
    <font>
      <sz val="11"/>
      <color rgb="FF3333FF"/>
      <name val="Calibri"/>
      <family val="2"/>
      <scheme val="minor"/>
    </font>
    <font>
      <b/>
      <sz val="11"/>
      <color rgb="FFFF0000"/>
      <name val="Calibri"/>
      <family val="2"/>
    </font>
    <font>
      <sz val="11"/>
      <color rgb="FFFF0000"/>
      <name val="Calibri"/>
      <family val="2"/>
      <scheme val="minor"/>
    </font>
  </fonts>
  <fills count="20">
    <fill>
      <patternFill patternType="none"/>
    </fill>
    <fill>
      <patternFill patternType="gray125"/>
    </fill>
    <fill>
      <patternFill patternType="solid">
        <fgColor theme="4" tint="0.39997558519241921"/>
        <bgColor indexed="65"/>
      </patternFill>
    </fill>
    <fill>
      <patternFill patternType="solid">
        <fgColor theme="6" tint="0.39997558519241921"/>
        <bgColor indexed="65"/>
      </patternFill>
    </fill>
    <fill>
      <patternFill patternType="solid">
        <fgColor theme="9"/>
      </patternFill>
    </fill>
    <fill>
      <patternFill patternType="solid">
        <fgColor rgb="FF0275D8"/>
        <bgColor indexed="64"/>
      </patternFill>
    </fill>
    <fill>
      <patternFill patternType="solid">
        <fgColor theme="7" tint="-0.499984740745262"/>
        <bgColor indexed="64"/>
      </patternFill>
    </fill>
    <fill>
      <patternFill patternType="solid">
        <fgColor theme="0" tint="-4.9989318521683403E-2"/>
        <bgColor indexed="64"/>
      </patternFill>
    </fill>
    <fill>
      <patternFill patternType="solid">
        <fgColor theme="7" tint="-0.249977111117893"/>
        <bgColor indexed="64"/>
      </patternFill>
    </fill>
    <fill>
      <patternFill patternType="solid">
        <fgColor theme="7"/>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3" tint="0.59999389629810485"/>
        <bgColor indexed="64"/>
      </patternFill>
    </fill>
    <fill>
      <patternFill patternType="solid">
        <fgColor theme="7" tint="0.39997558519241921"/>
        <bgColor indexed="64"/>
      </patternFill>
    </fill>
    <fill>
      <patternFill patternType="solid">
        <fgColor theme="8" tint="-0.499984740745262"/>
        <bgColor indexed="64"/>
      </patternFill>
    </fill>
    <fill>
      <patternFill patternType="solid">
        <fgColor theme="7" tint="-0.24994659260841701"/>
        <bgColor indexed="64"/>
      </patternFill>
    </fill>
    <fill>
      <patternFill patternType="solid">
        <fgColor rgb="FF0070C0"/>
        <bgColor indexed="64"/>
      </patternFill>
    </fill>
    <fill>
      <patternFill patternType="solid">
        <fgColor theme="4" tint="0.79998168889431442"/>
        <bgColor indexed="64"/>
      </patternFill>
    </fill>
  </fills>
  <borders count="76">
    <border>
      <left/>
      <right/>
      <top/>
      <bottom/>
      <diagonal/>
    </border>
    <border>
      <left/>
      <right/>
      <top/>
      <bottom style="thick">
        <color theme="7" tint="-0.499984740745262"/>
      </bottom>
      <diagonal/>
    </border>
    <border>
      <left style="dashed">
        <color theme="9" tint="-0.499984740745262"/>
      </left>
      <right/>
      <top style="dashed">
        <color theme="9" tint="-0.499984740745262"/>
      </top>
      <bottom/>
      <diagonal/>
    </border>
    <border>
      <left style="dashed">
        <color theme="9" tint="-0.499984740745262"/>
      </left>
      <right style="dashed">
        <color theme="9" tint="-0.499984740745262"/>
      </right>
      <top style="dashed">
        <color theme="9" tint="-0.499984740745262"/>
      </top>
      <bottom/>
      <diagonal/>
    </border>
    <border>
      <left/>
      <right/>
      <top style="dashed">
        <color theme="9" tint="-0.499984740745262"/>
      </top>
      <bottom/>
      <diagonal/>
    </border>
    <border>
      <left/>
      <right style="dashed">
        <color theme="9" tint="-0.499984740745262"/>
      </right>
      <top style="dashed">
        <color theme="9" tint="-0.499984740745262"/>
      </top>
      <bottom/>
      <diagonal/>
    </border>
    <border>
      <left style="dashed">
        <color theme="9" tint="-0.499984740745262"/>
      </left>
      <right/>
      <top/>
      <bottom style="dashed">
        <color theme="9" tint="-0.499984740745262"/>
      </bottom>
      <diagonal/>
    </border>
    <border>
      <left style="dashed">
        <color theme="9" tint="-0.499984740745262"/>
      </left>
      <right style="dashed">
        <color theme="9" tint="-0.499984740745262"/>
      </right>
      <top/>
      <bottom style="dashed">
        <color theme="9" tint="-0.499984740745262"/>
      </bottom>
      <diagonal/>
    </border>
    <border>
      <left/>
      <right/>
      <top/>
      <bottom style="dashed">
        <color theme="9" tint="-0.499984740745262"/>
      </bottom>
      <diagonal/>
    </border>
    <border>
      <left/>
      <right style="dashed">
        <color theme="9" tint="-0.499984740745262"/>
      </right>
      <top/>
      <bottom style="dashed">
        <color theme="9" tint="-0.499984740745262"/>
      </bottom>
      <diagonal/>
    </border>
    <border>
      <left/>
      <right/>
      <top/>
      <bottom style="thin">
        <color auto="1"/>
      </bottom>
      <diagonal/>
    </border>
    <border>
      <left/>
      <right/>
      <top style="thin">
        <color auto="1"/>
      </top>
      <bottom/>
      <diagonal/>
    </border>
    <border>
      <left/>
      <right/>
      <top style="medium">
        <color auto="1"/>
      </top>
      <bottom style="thick">
        <color auto="1"/>
      </bottom>
      <diagonal/>
    </border>
    <border>
      <left style="dashed">
        <color auto="1"/>
      </left>
      <right style="dashed">
        <color auto="1"/>
      </right>
      <top style="dashed">
        <color auto="1"/>
      </top>
      <bottom style="dashed">
        <color auto="1"/>
      </bottom>
      <diagonal/>
    </border>
    <border>
      <left style="dotted">
        <color theme="0" tint="-0.24994659260841701"/>
      </left>
      <right/>
      <top/>
      <bottom style="medium">
        <color auto="1"/>
      </bottom>
      <diagonal/>
    </border>
    <border>
      <left/>
      <right style="dotted">
        <color theme="0" tint="-0.24994659260841701"/>
      </right>
      <top/>
      <bottom style="medium">
        <color auto="1"/>
      </bottom>
      <diagonal/>
    </border>
    <border>
      <left style="dotted">
        <color theme="0" tint="-0.24994659260841701"/>
      </left>
      <right/>
      <top style="medium">
        <color auto="1"/>
      </top>
      <bottom/>
      <diagonal/>
    </border>
    <border>
      <left/>
      <right style="dotted">
        <color theme="0" tint="-0.24994659260841701"/>
      </right>
      <top style="medium">
        <color auto="1"/>
      </top>
      <bottom/>
      <diagonal/>
    </border>
    <border>
      <left style="dotted">
        <color theme="0" tint="-0.24994659260841701"/>
      </left>
      <right/>
      <top/>
      <bottom/>
      <diagonal/>
    </border>
    <border>
      <left/>
      <right style="dotted">
        <color theme="0" tint="-0.24994659260841701"/>
      </right>
      <top/>
      <bottom/>
      <diagonal/>
    </border>
    <border>
      <left style="dotted">
        <color theme="0" tint="-0.24994659260841701"/>
      </left>
      <right/>
      <top style="dotted">
        <color theme="0" tint="-0.24994659260841701"/>
      </top>
      <bottom/>
      <diagonal/>
    </border>
    <border>
      <left/>
      <right style="dotted">
        <color theme="0" tint="-0.24994659260841701"/>
      </right>
      <top style="dotted">
        <color theme="0" tint="-0.24994659260841701"/>
      </top>
      <bottom/>
      <diagonal/>
    </border>
    <border>
      <left style="dotted">
        <color theme="0" tint="-0.24994659260841701"/>
      </left>
      <right/>
      <top style="dotted">
        <color theme="0" tint="-0.24994659260841701"/>
      </top>
      <bottom style="medium">
        <color auto="1"/>
      </bottom>
      <diagonal/>
    </border>
    <border>
      <left/>
      <right style="dotted">
        <color theme="0" tint="-0.24994659260841701"/>
      </right>
      <top style="dotted">
        <color theme="0" tint="-0.24994659260841701"/>
      </top>
      <bottom style="medium">
        <color auto="1"/>
      </bottom>
      <diagonal/>
    </border>
    <border>
      <left style="dotted">
        <color theme="0" tint="-0.24994659260841701"/>
      </left>
      <right/>
      <top style="dashed">
        <color auto="1"/>
      </top>
      <bottom/>
      <diagonal/>
    </border>
    <border>
      <left/>
      <right style="dotted">
        <color theme="0" tint="-0.24994659260841701"/>
      </right>
      <top style="dashed">
        <color auto="1"/>
      </top>
      <bottom/>
      <diagonal/>
    </border>
    <border>
      <left style="mediumDashed">
        <color auto="1"/>
      </left>
      <right/>
      <top/>
      <bottom/>
      <diagonal/>
    </border>
    <border>
      <left/>
      <right style="mediumDashed">
        <color auto="1"/>
      </right>
      <top/>
      <bottom/>
      <diagonal/>
    </border>
    <border>
      <left style="mediumDashed">
        <color auto="1"/>
      </left>
      <right/>
      <top/>
      <bottom style="mediumDashed">
        <color auto="1"/>
      </bottom>
      <diagonal/>
    </border>
    <border>
      <left/>
      <right style="mediumDashed">
        <color auto="1"/>
      </right>
      <top/>
      <bottom style="mediumDashed">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style="medium">
        <color auto="1"/>
      </top>
      <bottom/>
      <diagonal/>
    </border>
    <border>
      <left/>
      <right style="medium">
        <color auto="1"/>
      </right>
      <top/>
      <bottom/>
      <diagonal/>
    </border>
    <border>
      <left/>
      <right/>
      <top style="medium">
        <color auto="1"/>
      </top>
      <bottom/>
      <diagonal/>
    </border>
    <border>
      <left/>
      <right/>
      <top/>
      <bottom style="medium">
        <color auto="1"/>
      </bottom>
      <diagonal/>
    </border>
    <border>
      <left style="dotted">
        <color theme="0" tint="-0.24994659260841701"/>
      </left>
      <right/>
      <top/>
      <bottom style="thin">
        <color auto="1"/>
      </bottom>
      <diagonal/>
    </border>
    <border>
      <left/>
      <right style="dotted">
        <color theme="0" tint="-0.24994659260841701"/>
      </right>
      <top/>
      <bottom style="thin">
        <color auto="1"/>
      </bottom>
      <diagonal/>
    </border>
    <border>
      <left style="dotted">
        <color theme="0" tint="-0.24994659260841701"/>
      </left>
      <right/>
      <top style="thin">
        <color auto="1"/>
      </top>
      <bottom/>
      <diagonal/>
    </border>
    <border>
      <left/>
      <right style="dotted">
        <color theme="0" tint="-0.24994659260841701"/>
      </right>
      <top style="thin">
        <color auto="1"/>
      </top>
      <bottom/>
      <diagonal/>
    </border>
    <border>
      <left style="dotted">
        <color theme="0" tint="-0.24994659260841701"/>
      </left>
      <right/>
      <top style="thin">
        <color auto="1"/>
      </top>
      <bottom style="thick">
        <color auto="1"/>
      </bottom>
      <diagonal/>
    </border>
    <border>
      <left/>
      <right/>
      <top style="thin">
        <color auto="1"/>
      </top>
      <bottom style="thick">
        <color auto="1"/>
      </bottom>
      <diagonal/>
    </border>
    <border>
      <left/>
      <right style="dotted">
        <color theme="0" tint="-0.24994659260841701"/>
      </right>
      <top style="thin">
        <color auto="1"/>
      </top>
      <bottom style="thick">
        <color auto="1"/>
      </bottom>
      <diagonal/>
    </border>
    <border>
      <left style="dotted">
        <color theme="0" tint="-0.24994659260841701"/>
      </left>
      <right/>
      <top style="thin">
        <color theme="7" tint="-0.499984740745262"/>
      </top>
      <bottom style="thin">
        <color auto="1"/>
      </bottom>
      <diagonal/>
    </border>
    <border>
      <left/>
      <right/>
      <top style="thin">
        <color theme="7" tint="-0.499984740745262"/>
      </top>
      <bottom style="thin">
        <color auto="1"/>
      </bottom>
      <diagonal/>
    </border>
    <border>
      <left/>
      <right style="dotted">
        <color theme="0" tint="-0.24994659260841701"/>
      </right>
      <top style="thin">
        <color theme="7" tint="-0.499984740745262"/>
      </top>
      <bottom style="thin">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right/>
      <top style="dashed">
        <color rgb="FF0070C0"/>
      </top>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right style="dashed">
        <color theme="9" tint="-0.24994659260841701"/>
      </right>
      <top style="dashed">
        <color theme="9" tint="-0.24994659260841701"/>
      </top>
      <bottom/>
      <diagonal/>
    </border>
    <border>
      <left style="dashed">
        <color theme="9" tint="-0.24994659260841701"/>
      </left>
      <right/>
      <top/>
      <bottom/>
      <diagonal/>
    </border>
    <border>
      <left/>
      <right style="dashed">
        <color theme="9" tint="-0.24994659260841701"/>
      </right>
      <top/>
      <bottom/>
      <diagonal/>
    </border>
    <border>
      <left style="dashed">
        <color theme="9" tint="-0.24994659260841701"/>
      </left>
      <right/>
      <top/>
      <bottom style="double">
        <color auto="1"/>
      </bottom>
      <diagonal/>
    </border>
    <border>
      <left style="double">
        <color auto="1"/>
      </left>
      <right/>
      <top/>
      <bottom style="double">
        <color auto="1"/>
      </bottom>
      <diagonal/>
    </border>
    <border>
      <left/>
      <right/>
      <top/>
      <bottom style="double">
        <color auto="1"/>
      </bottom>
      <diagonal/>
    </border>
    <border>
      <left/>
      <right style="dashed">
        <color theme="9" tint="-0.24994659260841701"/>
      </right>
      <top/>
      <bottom style="double">
        <color auto="1"/>
      </bottom>
      <diagonal/>
    </border>
    <border>
      <left style="double">
        <color auto="1"/>
      </left>
      <right/>
      <top/>
      <bottom/>
      <diagonal/>
    </border>
    <border>
      <left style="dashed">
        <color theme="9" tint="-0.24994659260841701"/>
      </left>
      <right/>
      <top/>
      <bottom style="dashed">
        <color theme="9" tint="-0.24994659260841701"/>
      </bottom>
      <diagonal/>
    </border>
    <border>
      <left style="double">
        <color auto="1"/>
      </left>
      <right/>
      <top/>
      <bottom style="dashed">
        <color theme="9" tint="-0.24994659260841701"/>
      </bottom>
      <diagonal/>
    </border>
    <border>
      <left/>
      <right/>
      <top/>
      <bottom style="dashed">
        <color theme="9" tint="-0.24994659260841701"/>
      </bottom>
      <diagonal/>
    </border>
    <border>
      <left/>
      <right style="dashed">
        <color theme="9" tint="-0.24994659260841701"/>
      </right>
      <top/>
      <bottom style="dashed">
        <color theme="9" tint="-0.24994659260841701"/>
      </bottom>
      <diagonal/>
    </border>
    <border>
      <left style="dotted">
        <color theme="0" tint="-0.24994659260841701"/>
      </left>
      <right style="dotted">
        <color theme="0"/>
      </right>
      <top style="dotted">
        <color theme="0"/>
      </top>
      <bottom/>
      <diagonal/>
    </border>
    <border>
      <left style="dotted">
        <color theme="0"/>
      </left>
      <right/>
      <top style="dotted">
        <color theme="0"/>
      </top>
      <bottom/>
      <diagonal/>
    </border>
    <border>
      <left/>
      <right style="dotted">
        <color theme="0"/>
      </right>
      <top style="dotted">
        <color theme="0" tint="-0.24994659260841701"/>
      </top>
      <bottom/>
      <diagonal/>
    </border>
    <border>
      <left style="dotted">
        <color theme="0"/>
      </left>
      <right/>
      <top style="dotted">
        <color theme="0" tint="-0.24994659260841701"/>
      </top>
      <bottom/>
      <diagonal/>
    </border>
    <border>
      <left/>
      <right/>
      <top style="medium">
        <color theme="7" tint="0.39994506668294322"/>
      </top>
      <bottom style="medium">
        <color theme="7" tint="0.39994506668294322"/>
      </bottom>
      <diagonal/>
    </border>
    <border>
      <left/>
      <right/>
      <top style="medium">
        <color theme="7" tint="0.39994506668294322"/>
      </top>
      <bottom/>
      <diagonal/>
    </border>
    <border>
      <left/>
      <right style="mediumDashed">
        <color theme="8" tint="0.39994506668294322"/>
      </right>
      <top/>
      <bottom/>
      <diagonal/>
    </border>
    <border>
      <left style="dashed">
        <color theme="3" tint="0.39994506668294322"/>
      </left>
      <right/>
      <top/>
      <bottom/>
      <diagonal/>
    </border>
    <border>
      <left/>
      <right style="dashed">
        <color theme="3" tint="0.39994506668294322"/>
      </right>
      <top/>
      <bottom/>
      <diagonal/>
    </border>
    <border>
      <left style="dashed">
        <color theme="3" tint="0.39994506668294322"/>
      </left>
      <right/>
      <top style="medium">
        <color auto="1"/>
      </top>
      <bottom style="thick">
        <color auto="1"/>
      </bottom>
      <diagonal/>
    </border>
    <border>
      <left/>
      <right style="dashed">
        <color theme="3" tint="0.39994506668294322"/>
      </right>
      <top style="medium">
        <color auto="1"/>
      </top>
      <bottom style="thick">
        <color auto="1"/>
      </bottom>
      <diagonal/>
    </border>
    <border>
      <left style="medium">
        <color auto="1"/>
      </left>
      <right/>
      <top style="medium">
        <color auto="1"/>
      </top>
      <bottom/>
      <diagonal/>
    </border>
    <border>
      <left style="medium">
        <color auto="1"/>
      </left>
      <right/>
      <top/>
      <bottom style="medium">
        <color auto="1"/>
      </bottom>
      <diagonal/>
    </border>
  </borders>
  <cellStyleXfs count="7">
    <xf numFmtId="0" fontId="0" fillId="0" borderId="0"/>
    <xf numFmtId="164" fontId="5" fillId="0" borderId="0" applyFont="0" applyFill="0" applyBorder="0" applyAlignment="0" applyProtection="0"/>
    <xf numFmtId="0" fontId="6" fillId="0" borderId="0" applyNumberFormat="0" applyFill="0" applyBorder="0" applyAlignment="0" applyProtection="0">
      <alignment vertical="top"/>
      <protection locked="0"/>
    </xf>
    <xf numFmtId="0" fontId="7" fillId="2"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9" fontId="5" fillId="0" borderId="0" applyFont="0" applyFill="0" applyBorder="0" applyAlignment="0" applyProtection="0"/>
  </cellStyleXfs>
  <cellXfs count="209">
    <xf numFmtId="0" fontId="0" fillId="0" borderId="0" xfId="0"/>
    <xf numFmtId="164" fontId="3" fillId="0" borderId="0" xfId="1" applyFont="1" applyBorder="1"/>
    <xf numFmtId="0" fontId="3" fillId="0" borderId="0" xfId="0" applyFont="1"/>
    <xf numFmtId="0" fontId="9" fillId="0" borderId="0" xfId="0" applyFont="1"/>
    <xf numFmtId="164" fontId="0" fillId="0" borderId="0" xfId="1" applyFont="1" applyBorder="1"/>
    <xf numFmtId="10" fontId="0" fillId="0" borderId="0" xfId="0" applyNumberFormat="1"/>
    <xf numFmtId="164" fontId="5" fillId="0" borderId="0" xfId="1" applyFont="1" applyBorder="1"/>
    <xf numFmtId="9" fontId="5" fillId="0" borderId="0" xfId="1" applyNumberFormat="1" applyFont="1" applyBorder="1"/>
    <xf numFmtId="164" fontId="4" fillId="2" borderId="0" xfId="3" applyNumberFormat="1" applyFont="1" applyBorder="1"/>
    <xf numFmtId="164" fontId="4" fillId="3" borderId="0" xfId="4" applyNumberFormat="1" applyFont="1" applyBorder="1"/>
    <xf numFmtId="9" fontId="3" fillId="0" borderId="0" xfId="6" applyFont="1" applyBorder="1"/>
    <xf numFmtId="0" fontId="4" fillId="5" borderId="0" xfId="0" applyFont="1" applyFill="1"/>
    <xf numFmtId="165" fontId="4" fillId="5" borderId="0" xfId="0" applyNumberFormat="1" applyFont="1" applyFill="1" applyAlignment="1">
      <alignment horizontal="center"/>
    </xf>
    <xf numFmtId="0" fontId="4" fillId="5" borderId="0" xfId="0" applyFont="1" applyFill="1" applyAlignment="1">
      <alignment horizontal="center"/>
    </xf>
    <xf numFmtId="164" fontId="0" fillId="0" borderId="0" xfId="1" applyFont="1" applyBorder="1" applyAlignment="1">
      <alignment horizontal="center"/>
    </xf>
    <xf numFmtId="164" fontId="3" fillId="0" borderId="0" xfId="1" applyFont="1" applyBorder="1" applyAlignment="1">
      <alignment horizontal="center"/>
    </xf>
    <xf numFmtId="10" fontId="3" fillId="0" borderId="0" xfId="0" applyNumberFormat="1" applyFont="1"/>
    <xf numFmtId="165" fontId="4" fillId="5" borderId="0" xfId="1" applyNumberFormat="1" applyFont="1" applyFill="1" applyBorder="1"/>
    <xf numFmtId="165" fontId="10" fillId="0" borderId="0" xfId="1" applyNumberFormat="1" applyFont="1" applyFill="1" applyBorder="1"/>
    <xf numFmtId="43" fontId="0" fillId="0" borderId="0" xfId="1" applyNumberFormat="1" applyFont="1" applyBorder="1"/>
    <xf numFmtId="10" fontId="13" fillId="0" borderId="0" xfId="6" applyNumberFormat="1" applyFont="1"/>
    <xf numFmtId="0" fontId="14" fillId="0" borderId="0" xfId="0" applyFont="1"/>
    <xf numFmtId="10" fontId="16" fillId="0" borderId="0" xfId="6" applyNumberFormat="1" applyFont="1" applyBorder="1"/>
    <xf numFmtId="164" fontId="15" fillId="0" borderId="0" xfId="1" applyFont="1" applyBorder="1"/>
    <xf numFmtId="0" fontId="16" fillId="0" borderId="0" xfId="0" applyFont="1"/>
    <xf numFmtId="10" fontId="16" fillId="0" borderId="0" xfId="6" applyNumberFormat="1" applyFont="1" applyBorder="1" applyAlignment="1">
      <alignment horizontal="right"/>
    </xf>
    <xf numFmtId="10" fontId="17" fillId="0" borderId="0" xfId="6" applyNumberFormat="1" applyFont="1" applyBorder="1"/>
    <xf numFmtId="0" fontId="3" fillId="0" borderId="0" xfId="0" applyFont="1" applyProtection="1">
      <protection locked="0"/>
    </xf>
    <xf numFmtId="16" fontId="0" fillId="0" borderId="0" xfId="0" applyNumberFormat="1" applyProtection="1">
      <protection locked="0"/>
    </xf>
    <xf numFmtId="0" fontId="0" fillId="7" borderId="0" xfId="0" applyFill="1" applyProtection="1">
      <protection locked="0"/>
    </xf>
    <xf numFmtId="0" fontId="4" fillId="6" borderId="0" xfId="0" applyFont="1" applyFill="1" applyProtection="1">
      <protection locked="0"/>
    </xf>
    <xf numFmtId="0" fontId="23" fillId="0" borderId="0" xfId="0" applyFont="1" applyProtection="1">
      <protection locked="0"/>
    </xf>
    <xf numFmtId="17" fontId="12" fillId="10" borderId="6" xfId="0" applyNumberFormat="1" applyFont="1" applyFill="1" applyBorder="1" applyProtection="1">
      <protection locked="0"/>
    </xf>
    <xf numFmtId="17" fontId="12" fillId="10" borderId="8" xfId="0" applyNumberFormat="1" applyFont="1" applyFill="1" applyBorder="1" applyProtection="1">
      <protection locked="0"/>
    </xf>
    <xf numFmtId="17" fontId="12" fillId="10" borderId="9" xfId="0" applyNumberFormat="1" applyFont="1" applyFill="1" applyBorder="1" applyProtection="1">
      <protection locked="0"/>
    </xf>
    <xf numFmtId="0" fontId="0" fillId="0" borderId="0" xfId="0" applyProtection="1">
      <protection locked="0"/>
    </xf>
    <xf numFmtId="167" fontId="2" fillId="0" borderId="0" xfId="0" applyNumberFormat="1" applyFont="1" applyProtection="1">
      <protection locked="0"/>
    </xf>
    <xf numFmtId="167" fontId="2" fillId="0" borderId="10" xfId="0" applyNumberFormat="1" applyFont="1" applyBorder="1" applyProtection="1">
      <protection locked="0"/>
    </xf>
    <xf numFmtId="0" fontId="0" fillId="0" borderId="11" xfId="0" applyBorder="1" applyProtection="1">
      <protection locked="0"/>
    </xf>
    <xf numFmtId="0" fontId="0" fillId="0" borderId="10" xfId="0" applyBorder="1" applyProtection="1">
      <protection locked="0"/>
    </xf>
    <xf numFmtId="0" fontId="12" fillId="0" borderId="0" xfId="0" applyFont="1" applyProtection="1">
      <protection locked="0"/>
    </xf>
    <xf numFmtId="0" fontId="0" fillId="0" borderId="0" xfId="0" quotePrefix="1" applyProtection="1">
      <protection locked="0"/>
    </xf>
    <xf numFmtId="0" fontId="12" fillId="0" borderId="11" xfId="0" applyFont="1" applyBorder="1" applyProtection="1">
      <protection locked="0"/>
    </xf>
    <xf numFmtId="0" fontId="0" fillId="11" borderId="0" xfId="0" applyFill="1" applyProtection="1">
      <protection locked="0"/>
    </xf>
    <xf numFmtId="0" fontId="12" fillId="0" borderId="12" xfId="0" applyFont="1" applyBorder="1" applyProtection="1">
      <protection locked="0"/>
    </xf>
    <xf numFmtId="0" fontId="12" fillId="0" borderId="13" xfId="0" applyFont="1" applyBorder="1" applyProtection="1">
      <protection locked="0"/>
    </xf>
    <xf numFmtId="0" fontId="12" fillId="12" borderId="16" xfId="0" applyFont="1" applyFill="1" applyBorder="1" applyProtection="1">
      <protection locked="0"/>
    </xf>
    <xf numFmtId="0" fontId="0" fillId="12" borderId="17" xfId="0" applyFill="1" applyBorder="1" applyProtection="1">
      <protection locked="0"/>
    </xf>
    <xf numFmtId="0" fontId="0" fillId="0" borderId="18" xfId="0" applyBorder="1" applyProtection="1">
      <protection locked="0"/>
    </xf>
    <xf numFmtId="0" fontId="0" fillId="0" borderId="14" xfId="0" applyBorder="1" applyProtection="1">
      <protection locked="0"/>
    </xf>
    <xf numFmtId="0" fontId="3" fillId="0" borderId="20" xfId="0" applyFont="1" applyBorder="1" applyProtection="1">
      <protection locked="0"/>
    </xf>
    <xf numFmtId="168" fontId="0" fillId="0" borderId="19" xfId="0" applyNumberFormat="1" applyBorder="1" applyProtection="1">
      <protection locked="0"/>
    </xf>
    <xf numFmtId="0" fontId="0" fillId="0" borderId="19" xfId="0" applyBorder="1" applyProtection="1">
      <protection locked="0"/>
    </xf>
    <xf numFmtId="0" fontId="11" fillId="12" borderId="0" xfId="0" applyFont="1" applyFill="1" applyProtection="1">
      <protection locked="0"/>
    </xf>
    <xf numFmtId="3" fontId="11" fillId="12" borderId="0" xfId="0" applyNumberFormat="1" applyFont="1" applyFill="1" applyProtection="1">
      <protection locked="0"/>
    </xf>
    <xf numFmtId="0" fontId="0" fillId="12" borderId="19" xfId="0" applyFill="1" applyBorder="1" applyProtection="1">
      <protection locked="0"/>
    </xf>
    <xf numFmtId="0" fontId="0" fillId="0" borderId="24" xfId="0" applyBorder="1" applyProtection="1">
      <protection locked="0"/>
    </xf>
    <xf numFmtId="0" fontId="12" fillId="13" borderId="18" xfId="0" applyFont="1" applyFill="1" applyBorder="1" applyProtection="1">
      <protection locked="0"/>
    </xf>
    <xf numFmtId="0" fontId="0" fillId="0" borderId="26" xfId="0" applyBorder="1" applyProtection="1">
      <protection locked="0"/>
    </xf>
    <xf numFmtId="0" fontId="3" fillId="0" borderId="28" xfId="0" applyFont="1" applyBorder="1" applyProtection="1">
      <protection locked="0"/>
    </xf>
    <xf numFmtId="9" fontId="3" fillId="0" borderId="29" xfId="6" applyFont="1" applyBorder="1" applyProtection="1"/>
    <xf numFmtId="0" fontId="0" fillId="7" borderId="30" xfId="0" applyFill="1" applyBorder="1" applyProtection="1">
      <protection locked="0"/>
    </xf>
    <xf numFmtId="17" fontId="12" fillId="7" borderId="30" xfId="0" applyNumberFormat="1" applyFont="1" applyFill="1" applyBorder="1" applyProtection="1">
      <protection locked="0"/>
    </xf>
    <xf numFmtId="17" fontId="12" fillId="7" borderId="31" xfId="0" applyNumberFormat="1" applyFont="1" applyFill="1" applyBorder="1" applyProtection="1">
      <protection locked="0"/>
    </xf>
    <xf numFmtId="3" fontId="20" fillId="0" borderId="0" xfId="0" applyNumberFormat="1" applyFont="1" applyProtection="1">
      <protection locked="0"/>
    </xf>
    <xf numFmtId="3" fontId="20" fillId="0" borderId="32" xfId="0" applyNumberFormat="1" applyFont="1" applyBorder="1" applyProtection="1">
      <protection locked="0"/>
    </xf>
    <xf numFmtId="169" fontId="24" fillId="0" borderId="0" xfId="0" applyNumberFormat="1" applyFont="1" applyProtection="1">
      <protection locked="0"/>
    </xf>
    <xf numFmtId="169" fontId="24" fillId="0" borderId="33" xfId="0" applyNumberFormat="1" applyFont="1" applyBorder="1" applyProtection="1">
      <protection locked="0"/>
    </xf>
    <xf numFmtId="3" fontId="20" fillId="0" borderId="33" xfId="0" applyNumberFormat="1" applyFont="1" applyBorder="1" applyProtection="1">
      <protection locked="0"/>
    </xf>
    <xf numFmtId="0" fontId="12" fillId="0" borderId="34" xfId="0" applyFont="1" applyBorder="1" applyProtection="1">
      <protection locked="0"/>
    </xf>
    <xf numFmtId="0" fontId="0" fillId="0" borderId="35" xfId="0" applyBorder="1" applyProtection="1">
      <protection locked="0"/>
    </xf>
    <xf numFmtId="10" fontId="0" fillId="0" borderId="0" xfId="0" applyNumberFormat="1" applyProtection="1">
      <protection locked="0"/>
    </xf>
    <xf numFmtId="0" fontId="12" fillId="0" borderId="36" xfId="0" applyFont="1" applyBorder="1" applyProtection="1">
      <protection locked="0"/>
    </xf>
    <xf numFmtId="0" fontId="0" fillId="0" borderId="37" xfId="0" applyBorder="1" applyProtection="1">
      <protection locked="0"/>
    </xf>
    <xf numFmtId="10" fontId="20" fillId="0" borderId="19" xfId="0" applyNumberFormat="1" applyFont="1" applyBorder="1" applyProtection="1">
      <protection locked="0"/>
    </xf>
    <xf numFmtId="0" fontId="12" fillId="0" borderId="38" xfId="0" applyFont="1" applyBorder="1" applyProtection="1">
      <protection locked="0"/>
    </xf>
    <xf numFmtId="0" fontId="12" fillId="0" borderId="40" xfId="0" applyFont="1" applyBorder="1" applyProtection="1">
      <protection locked="0"/>
    </xf>
    <xf numFmtId="0" fontId="12" fillId="0" borderId="41" xfId="0" applyFont="1" applyBorder="1" applyProtection="1">
      <protection locked="0"/>
    </xf>
    <xf numFmtId="10" fontId="12" fillId="0" borderId="42" xfId="6" applyNumberFormat="1" applyFont="1" applyBorder="1" applyProtection="1"/>
    <xf numFmtId="0" fontId="11" fillId="8" borderId="2" xfId="0" applyFont="1" applyFill="1" applyBorder="1" applyProtection="1">
      <protection locked="0"/>
    </xf>
    <xf numFmtId="0" fontId="11" fillId="8" borderId="3" xfId="0" applyFont="1" applyFill="1" applyBorder="1" applyAlignment="1" applyProtection="1">
      <alignment horizontal="right"/>
      <protection locked="0"/>
    </xf>
    <xf numFmtId="0" fontId="11" fillId="8" borderId="6" xfId="0" applyFont="1" applyFill="1" applyBorder="1" applyProtection="1">
      <protection locked="0"/>
    </xf>
    <xf numFmtId="17" fontId="11" fillId="8" borderId="7" xfId="0" applyNumberFormat="1" applyFont="1" applyFill="1" applyBorder="1" applyProtection="1">
      <protection locked="0"/>
    </xf>
    <xf numFmtId="0" fontId="12" fillId="15" borderId="16" xfId="0" applyFont="1" applyFill="1" applyBorder="1" applyProtection="1">
      <protection locked="0"/>
    </xf>
    <xf numFmtId="0" fontId="11" fillId="6" borderId="0" xfId="0" applyFont="1" applyFill="1" applyProtection="1">
      <protection locked="0"/>
    </xf>
    <xf numFmtId="0" fontId="4" fillId="6" borderId="0" xfId="0" applyFont="1" applyFill="1" applyAlignment="1" applyProtection="1">
      <alignment horizontal="center"/>
      <protection locked="0"/>
    </xf>
    <xf numFmtId="2" fontId="20" fillId="0" borderId="19" xfId="0" applyNumberFormat="1" applyFont="1" applyBorder="1" applyProtection="1">
      <protection locked="0"/>
    </xf>
    <xf numFmtId="0" fontId="12" fillId="0" borderId="43" xfId="0" applyFont="1" applyBorder="1" applyProtection="1">
      <protection locked="0"/>
    </xf>
    <xf numFmtId="0" fontId="12" fillId="0" borderId="44" xfId="0" applyFont="1" applyBorder="1" applyProtection="1">
      <protection locked="0"/>
    </xf>
    <xf numFmtId="167" fontId="0" fillId="0" borderId="19" xfId="0" applyNumberFormat="1" applyBorder="1" applyProtection="1">
      <protection locked="0"/>
    </xf>
    <xf numFmtId="0" fontId="0" fillId="0" borderId="48" xfId="0" applyBorder="1" applyProtection="1">
      <protection locked="0"/>
    </xf>
    <xf numFmtId="0" fontId="4" fillId="6" borderId="18" xfId="0" applyFont="1" applyFill="1" applyBorder="1" applyProtection="1">
      <protection locked="0"/>
    </xf>
    <xf numFmtId="0" fontId="0" fillId="12" borderId="52" xfId="0" applyFill="1" applyBorder="1" applyProtection="1">
      <protection locked="0"/>
    </xf>
    <xf numFmtId="0" fontId="0" fillId="12" borderId="0" xfId="0" applyFill="1" applyProtection="1">
      <protection locked="0"/>
    </xf>
    <xf numFmtId="0" fontId="0" fillId="12" borderId="53" xfId="0" applyFill="1" applyBorder="1" applyProtection="1">
      <protection locked="0"/>
    </xf>
    <xf numFmtId="10" fontId="20" fillId="0" borderId="55" xfId="0" applyNumberFormat="1" applyFont="1" applyBorder="1" applyProtection="1">
      <protection locked="0"/>
    </xf>
    <xf numFmtId="10" fontId="20" fillId="0" borderId="56" xfId="0" applyNumberFormat="1" applyFont="1" applyBorder="1" applyProtection="1">
      <protection locked="0"/>
    </xf>
    <xf numFmtId="10" fontId="20" fillId="7" borderId="56" xfId="0" applyNumberFormat="1" applyFont="1" applyFill="1" applyBorder="1" applyProtection="1">
      <protection locked="0"/>
    </xf>
    <xf numFmtId="10" fontId="20" fillId="0" borderId="57" xfId="0" applyNumberFormat="1" applyFont="1" applyBorder="1" applyProtection="1">
      <protection locked="0"/>
    </xf>
    <xf numFmtId="166" fontId="20" fillId="0" borderId="52" xfId="0" applyNumberFormat="1" applyFont="1" applyBorder="1" applyProtection="1">
      <protection locked="0"/>
    </xf>
    <xf numFmtId="166" fontId="20" fillId="7" borderId="52" xfId="0" applyNumberFormat="1" applyFont="1" applyFill="1" applyBorder="1" applyProtection="1">
      <protection locked="0"/>
    </xf>
    <xf numFmtId="166" fontId="20" fillId="0" borderId="59" xfId="0" applyNumberFormat="1" applyFont="1" applyBorder="1" applyProtection="1">
      <protection locked="0"/>
    </xf>
    <xf numFmtId="167" fontId="0" fillId="0" borderId="54" xfId="0" applyNumberFormat="1" applyBorder="1" applyProtection="1">
      <protection locked="0"/>
    </xf>
    <xf numFmtId="0" fontId="11" fillId="15" borderId="16" xfId="0" applyFont="1" applyFill="1" applyBorder="1" applyProtection="1">
      <protection locked="0"/>
    </xf>
    <xf numFmtId="168" fontId="20" fillId="0" borderId="0" xfId="0" applyNumberFormat="1" applyFont="1" applyProtection="1">
      <protection locked="0"/>
    </xf>
    <xf numFmtId="0" fontId="4" fillId="17" borderId="63" xfId="0" applyFont="1" applyFill="1" applyBorder="1" applyProtection="1">
      <protection locked="0"/>
    </xf>
    <xf numFmtId="0" fontId="11" fillId="17" borderId="65" xfId="0" applyFont="1" applyFill="1" applyBorder="1" applyProtection="1">
      <protection locked="0"/>
    </xf>
    <xf numFmtId="0" fontId="27" fillId="0" borderId="67" xfId="0" applyFont="1" applyBorder="1"/>
    <xf numFmtId="0" fontId="3" fillId="0" borderId="67" xfId="0" applyFont="1" applyBorder="1"/>
    <xf numFmtId="0" fontId="0" fillId="0" borderId="67" xfId="0" applyBorder="1"/>
    <xf numFmtId="0" fontId="27" fillId="0" borderId="0" xfId="0" applyFont="1"/>
    <xf numFmtId="0" fontId="0" fillId="0" borderId="68" xfId="0" applyBorder="1"/>
    <xf numFmtId="0" fontId="0" fillId="0" borderId="69" xfId="0" applyBorder="1"/>
    <xf numFmtId="0" fontId="0" fillId="0" borderId="0" xfId="0" applyAlignment="1">
      <alignment vertical="center"/>
    </xf>
    <xf numFmtId="0" fontId="0" fillId="0" borderId="0" xfId="0" applyAlignment="1">
      <alignment vertical="center" wrapText="1"/>
    </xf>
    <xf numFmtId="0" fontId="27" fillId="0" borderId="67" xfId="0" applyFont="1" applyBorder="1" applyAlignment="1">
      <alignment vertical="center"/>
    </xf>
    <xf numFmtId="168" fontId="0" fillId="0" borderId="0" xfId="0" applyNumberFormat="1" applyAlignment="1">
      <alignment horizontal="left"/>
    </xf>
    <xf numFmtId="0" fontId="0" fillId="0" borderId="0" xfId="0" applyAlignment="1">
      <alignment horizontal="left" vertical="top" wrapText="1"/>
    </xf>
    <xf numFmtId="0" fontId="8" fillId="0" borderId="0" xfId="0" applyFont="1" applyProtection="1">
      <protection locked="0"/>
    </xf>
    <xf numFmtId="0" fontId="18" fillId="0" borderId="0" xfId="0" applyFont="1" applyProtection="1">
      <protection locked="0"/>
    </xf>
    <xf numFmtId="0" fontId="0" fillId="0" borderId="1" xfId="0" applyBorder="1" applyProtection="1">
      <protection locked="0"/>
    </xf>
    <xf numFmtId="0" fontId="24" fillId="0" borderId="48" xfId="0" applyFont="1" applyBorder="1" applyProtection="1">
      <protection locked="0"/>
    </xf>
    <xf numFmtId="0" fontId="20" fillId="0" borderId="48" xfId="0" applyFont="1" applyBorder="1" applyProtection="1">
      <protection locked="0"/>
    </xf>
    <xf numFmtId="10" fontId="0" fillId="0" borderId="19" xfId="0" applyNumberFormat="1" applyBorder="1" applyProtection="1">
      <protection locked="0"/>
    </xf>
    <xf numFmtId="0" fontId="4" fillId="16" borderId="0" xfId="0" applyFont="1" applyFill="1" applyProtection="1">
      <protection locked="0"/>
    </xf>
    <xf numFmtId="10" fontId="0" fillId="0" borderId="0" xfId="6" applyNumberFormat="1" applyFont="1" applyProtection="1">
      <protection locked="0"/>
    </xf>
    <xf numFmtId="0" fontId="16" fillId="0" borderId="0" xfId="0" applyFont="1" applyProtection="1">
      <protection locked="0"/>
    </xf>
    <xf numFmtId="10" fontId="16" fillId="0" borderId="0" xfId="6" applyNumberFormat="1" applyFont="1" applyProtection="1">
      <protection locked="0"/>
    </xf>
    <xf numFmtId="167" fontId="1" fillId="0" borderId="0" xfId="0" applyNumberFormat="1" applyFont="1" applyProtection="1">
      <protection locked="0"/>
    </xf>
    <xf numFmtId="169" fontId="0" fillId="0" borderId="19" xfId="0" applyNumberFormat="1" applyBorder="1" applyProtection="1">
      <protection locked="0"/>
    </xf>
    <xf numFmtId="167" fontId="1" fillId="0" borderId="10" xfId="0" applyNumberFormat="1" applyFont="1" applyBorder="1" applyProtection="1">
      <protection locked="0"/>
    </xf>
    <xf numFmtId="0" fontId="0" fillId="0" borderId="70" xfId="0" applyBorder="1" applyProtection="1">
      <protection locked="0"/>
    </xf>
    <xf numFmtId="0" fontId="0" fillId="0" borderId="71" xfId="0" applyBorder="1" applyProtection="1">
      <protection locked="0"/>
    </xf>
    <xf numFmtId="166" fontId="4" fillId="6" borderId="19" xfId="0" applyNumberFormat="1" applyFont="1" applyFill="1" applyBorder="1" applyProtection="1">
      <protection locked="0"/>
    </xf>
    <xf numFmtId="168" fontId="0" fillId="0" borderId="58" xfId="0" applyNumberFormat="1" applyBorder="1" applyProtection="1">
      <protection locked="0"/>
    </xf>
    <xf numFmtId="168" fontId="0" fillId="0" borderId="0" xfId="0" applyNumberFormat="1" applyProtection="1">
      <protection locked="0"/>
    </xf>
    <xf numFmtId="168" fontId="0" fillId="7" borderId="0" xfId="0" applyNumberFormat="1" applyFill="1" applyProtection="1">
      <protection locked="0"/>
    </xf>
    <xf numFmtId="168" fontId="0" fillId="0" borderId="53" xfId="0" applyNumberFormat="1" applyBorder="1" applyProtection="1">
      <protection locked="0"/>
    </xf>
    <xf numFmtId="168" fontId="0" fillId="7" borderId="58" xfId="0" applyNumberFormat="1" applyFill="1" applyBorder="1" applyProtection="1">
      <protection locked="0"/>
    </xf>
    <xf numFmtId="168" fontId="3" fillId="14" borderId="0" xfId="0" applyNumberFormat="1" applyFont="1" applyFill="1" applyProtection="1">
      <protection locked="0"/>
    </xf>
    <xf numFmtId="168" fontId="0" fillId="7" borderId="53" xfId="0" applyNumberFormat="1" applyFill="1" applyBorder="1" applyProtection="1">
      <protection locked="0"/>
    </xf>
    <xf numFmtId="0" fontId="0" fillId="0" borderId="72" xfId="0" applyBorder="1" applyProtection="1">
      <protection locked="0"/>
    </xf>
    <xf numFmtId="0" fontId="0" fillId="0" borderId="12" xfId="0" applyBorder="1" applyProtection="1">
      <protection locked="0"/>
    </xf>
    <xf numFmtId="168" fontId="0" fillId="0" borderId="60" xfId="0" applyNumberFormat="1" applyBorder="1" applyProtection="1">
      <protection locked="0"/>
    </xf>
    <xf numFmtId="168" fontId="0" fillId="0" borderId="61" xfId="0" applyNumberFormat="1" applyBorder="1" applyProtection="1">
      <protection locked="0"/>
    </xf>
    <xf numFmtId="168" fontId="0" fillId="7" borderId="61" xfId="0" applyNumberFormat="1" applyFill="1" applyBorder="1" applyProtection="1">
      <protection locked="0"/>
    </xf>
    <xf numFmtId="168" fontId="0" fillId="0" borderId="62" xfId="0" applyNumberFormat="1" applyBorder="1" applyProtection="1">
      <protection locked="0"/>
    </xf>
    <xf numFmtId="10" fontId="0" fillId="7" borderId="0" xfId="0" applyNumberFormat="1" applyFill="1"/>
    <xf numFmtId="167" fontId="2" fillId="0" borderId="0" xfId="0" applyNumberFormat="1" applyFont="1"/>
    <xf numFmtId="167" fontId="12" fillId="0" borderId="0" xfId="0" applyNumberFormat="1" applyFont="1"/>
    <xf numFmtId="0" fontId="0" fillId="11" borderId="0" xfId="0" applyFill="1"/>
    <xf numFmtId="166" fontId="0" fillId="11" borderId="0" xfId="0" applyNumberFormat="1" applyFill="1"/>
    <xf numFmtId="0" fontId="12" fillId="0" borderId="12" xfId="0" applyFont="1" applyBorder="1"/>
    <xf numFmtId="168" fontId="3" fillId="0" borderId="12" xfId="0" applyNumberFormat="1" applyFont="1" applyBorder="1"/>
    <xf numFmtId="3" fontId="12" fillId="0" borderId="13" xfId="0" applyNumberFormat="1" applyFont="1" applyBorder="1"/>
    <xf numFmtId="167" fontId="0" fillId="0" borderId="19" xfId="0" applyNumberFormat="1" applyBorder="1"/>
    <xf numFmtId="167" fontId="2" fillId="0" borderId="15" xfId="0" applyNumberFormat="1" applyFont="1" applyBorder="1"/>
    <xf numFmtId="168" fontId="12" fillId="15" borderId="17" xfId="0" applyNumberFormat="1" applyFont="1" applyFill="1" applyBorder="1"/>
    <xf numFmtId="168" fontId="3" fillId="0" borderId="21" xfId="0" applyNumberFormat="1" applyFont="1" applyBorder="1"/>
    <xf numFmtId="168" fontId="11" fillId="15" borderId="16" xfId="0" applyNumberFormat="1" applyFont="1" applyFill="1" applyBorder="1"/>
    <xf numFmtId="2" fontId="0" fillId="0" borderId="25" xfId="0" applyNumberFormat="1" applyBorder="1"/>
    <xf numFmtId="0" fontId="0" fillId="0" borderId="73" xfId="0" applyBorder="1"/>
    <xf numFmtId="168" fontId="12" fillId="13" borderId="19" xfId="0" applyNumberFormat="1" applyFont="1" applyFill="1" applyBorder="1"/>
    <xf numFmtId="168" fontId="20" fillId="0" borderId="19" xfId="0" applyNumberFormat="1" applyFont="1" applyBorder="1"/>
    <xf numFmtId="0" fontId="4" fillId="17" borderId="64" xfId="0" applyFont="1" applyFill="1" applyBorder="1" applyAlignment="1">
      <alignment horizontal="right"/>
    </xf>
    <xf numFmtId="10" fontId="11" fillId="17" borderId="66" xfId="6" applyNumberFormat="1" applyFont="1" applyFill="1" applyBorder="1" applyProtection="1"/>
    <xf numFmtId="10" fontId="12" fillId="0" borderId="39" xfId="0" applyNumberFormat="1" applyFont="1" applyBorder="1"/>
    <xf numFmtId="10" fontId="12" fillId="0" borderId="45" xfId="0" applyNumberFormat="1" applyFont="1" applyBorder="1"/>
    <xf numFmtId="2" fontId="0" fillId="0" borderId="19" xfId="0" applyNumberFormat="1" applyBorder="1"/>
    <xf numFmtId="3" fontId="0" fillId="0" borderId="34" xfId="0" applyNumberFormat="1" applyBorder="1"/>
    <xf numFmtId="0" fontId="0" fillId="0" borderId="35" xfId="0" applyBorder="1"/>
    <xf numFmtId="3" fontId="0" fillId="0" borderId="35" xfId="0" applyNumberFormat="1" applyBorder="1"/>
    <xf numFmtId="3" fontId="0" fillId="0" borderId="46" xfId="0" applyNumberFormat="1" applyBorder="1"/>
    <xf numFmtId="3" fontId="0" fillId="0" borderId="74" xfId="0" applyNumberFormat="1" applyBorder="1"/>
    <xf numFmtId="3" fontId="0" fillId="0" borderId="47" xfId="0" applyNumberFormat="1" applyBorder="1"/>
    <xf numFmtId="3" fontId="0" fillId="0" borderId="75" xfId="0" applyNumberFormat="1" applyBorder="1"/>
    <xf numFmtId="168" fontId="0" fillId="0" borderId="27" xfId="0" applyNumberFormat="1" applyBorder="1"/>
    <xf numFmtId="0" fontId="28" fillId="19" borderId="0" xfId="0" applyFont="1" applyFill="1" applyProtection="1">
      <protection locked="0"/>
    </xf>
    <xf numFmtId="168" fontId="29" fillId="0" borderId="19" xfId="0" applyNumberFormat="1" applyFont="1" applyBorder="1" applyProtection="1">
      <protection locked="0"/>
    </xf>
    <xf numFmtId="0" fontId="12" fillId="19" borderId="0" xfId="0" applyFont="1" applyFill="1" applyProtection="1">
      <protection locked="0"/>
    </xf>
    <xf numFmtId="166" fontId="30" fillId="19" borderId="0" xfId="6" applyNumberFormat="1" applyFont="1" applyFill="1" applyProtection="1">
      <protection locked="0"/>
    </xf>
    <xf numFmtId="10" fontId="31" fillId="0" borderId="19" xfId="0" applyNumberFormat="1" applyFont="1" applyBorder="1" applyProtection="1">
      <protection locked="0"/>
    </xf>
    <xf numFmtId="166" fontId="31" fillId="7" borderId="0" xfId="0" applyNumberFormat="1" applyFont="1" applyFill="1" applyProtection="1">
      <protection locked="0"/>
    </xf>
    <xf numFmtId="170" fontId="29" fillId="0" borderId="19" xfId="0" applyNumberFormat="1" applyFont="1" applyBorder="1" applyProtection="1">
      <protection locked="0"/>
    </xf>
    <xf numFmtId="0" fontId="29" fillId="0" borderId="71" xfId="0" applyFont="1" applyBorder="1"/>
    <xf numFmtId="0" fontId="0" fillId="0" borderId="71" xfId="0" applyBorder="1"/>
    <xf numFmtId="0" fontId="29" fillId="0" borderId="0" xfId="0" applyFont="1" applyProtection="1">
      <protection locked="0"/>
    </xf>
    <xf numFmtId="0" fontId="19" fillId="6" borderId="0" xfId="0" applyFont="1" applyFill="1" applyAlignment="1" applyProtection="1">
      <alignment horizontal="center"/>
      <protection locked="0"/>
    </xf>
    <xf numFmtId="0" fontId="4" fillId="8" borderId="0" xfId="0" applyFont="1" applyFill="1" applyAlignment="1" applyProtection="1">
      <alignment horizontal="center"/>
      <protection locked="0"/>
    </xf>
    <xf numFmtId="0" fontId="11" fillId="9" borderId="2" xfId="0" applyFont="1" applyFill="1" applyBorder="1" applyAlignment="1" applyProtection="1">
      <alignment horizontal="center"/>
      <protection locked="0"/>
    </xf>
    <xf numFmtId="0" fontId="11" fillId="9" borderId="4" xfId="0" applyFont="1" applyFill="1" applyBorder="1" applyAlignment="1" applyProtection="1">
      <alignment horizontal="center"/>
      <protection locked="0"/>
    </xf>
    <xf numFmtId="0" fontId="11" fillId="9" borderId="5" xfId="0" applyFont="1" applyFill="1" applyBorder="1" applyAlignment="1" applyProtection="1">
      <alignment horizontal="center"/>
      <protection locked="0"/>
    </xf>
    <xf numFmtId="0" fontId="12" fillId="7" borderId="14" xfId="0" applyFont="1" applyFill="1" applyBorder="1" applyAlignment="1" applyProtection="1">
      <alignment horizontal="center"/>
      <protection locked="0"/>
    </xf>
    <xf numFmtId="0" fontId="12" fillId="7" borderId="15" xfId="0" applyFont="1" applyFill="1" applyBorder="1" applyAlignment="1" applyProtection="1">
      <alignment horizontal="center"/>
      <protection locked="0"/>
    </xf>
    <xf numFmtId="0" fontId="12" fillId="7" borderId="22" xfId="0" applyFont="1" applyFill="1" applyBorder="1" applyAlignment="1" applyProtection="1">
      <alignment horizontal="center"/>
      <protection locked="0"/>
    </xf>
    <xf numFmtId="0" fontId="12" fillId="7" borderId="23" xfId="0" applyFont="1" applyFill="1" applyBorder="1" applyAlignment="1" applyProtection="1">
      <alignment horizontal="center"/>
      <protection locked="0"/>
    </xf>
    <xf numFmtId="0" fontId="4" fillId="8" borderId="49" xfId="0" applyFont="1" applyFill="1" applyBorder="1" applyAlignment="1" applyProtection="1">
      <alignment horizontal="center"/>
      <protection locked="0"/>
    </xf>
    <xf numFmtId="0" fontId="4" fillId="8" borderId="50" xfId="0" applyFont="1" applyFill="1" applyBorder="1" applyAlignment="1" applyProtection="1">
      <alignment horizontal="center"/>
      <protection locked="0"/>
    </xf>
    <xf numFmtId="0" fontId="4" fillId="8" borderId="51" xfId="0" applyFont="1" applyFill="1" applyBorder="1" applyAlignment="1" applyProtection="1">
      <alignment horizontal="center"/>
      <protection locked="0"/>
    </xf>
    <xf numFmtId="0" fontId="4" fillId="15" borderId="70" xfId="0" applyFont="1" applyFill="1" applyBorder="1" applyAlignment="1" applyProtection="1">
      <alignment horizontal="center"/>
      <protection locked="0"/>
    </xf>
    <xf numFmtId="0" fontId="4" fillId="15" borderId="0" xfId="0" applyFont="1" applyFill="1" applyAlignment="1" applyProtection="1">
      <alignment horizontal="center"/>
      <protection locked="0"/>
    </xf>
    <xf numFmtId="0" fontId="4" fillId="15" borderId="71" xfId="0" applyFont="1" applyFill="1" applyBorder="1" applyAlignment="1" applyProtection="1">
      <alignment horizontal="center"/>
      <protection locked="0"/>
    </xf>
    <xf numFmtId="164" fontId="6" fillId="0" borderId="0" xfId="2" applyNumberFormat="1" applyBorder="1" applyAlignment="1" applyProtection="1">
      <alignment horizontal="center"/>
    </xf>
    <xf numFmtId="164" fontId="4" fillId="4" borderId="0" xfId="5" applyNumberFormat="1" applyFont="1" applyBorder="1" applyAlignment="1">
      <alignment horizontal="center"/>
    </xf>
    <xf numFmtId="0" fontId="0" fillId="0" borderId="0" xfId="0" applyAlignment="1">
      <alignment horizontal="left" vertical="top" wrapText="1"/>
    </xf>
    <xf numFmtId="0" fontId="26" fillId="18" borderId="0" xfId="0" applyFont="1" applyFill="1" applyAlignment="1">
      <alignment horizontal="center"/>
    </xf>
    <xf numFmtId="0" fontId="0" fillId="0" borderId="0" xfId="0" applyAlignment="1">
      <alignment horizontal="left" vertical="top"/>
    </xf>
    <xf numFmtId="0" fontId="0" fillId="0" borderId="0" xfId="0" applyAlignment="1">
      <alignment horizontal="left" wrapText="1"/>
    </xf>
    <xf numFmtId="0" fontId="0" fillId="0" borderId="0" xfId="0" applyAlignment="1">
      <alignment horizontal="left"/>
    </xf>
  </cellXfs>
  <cellStyles count="7">
    <cellStyle name="60% - Accent1" xfId="3" builtinId="32"/>
    <cellStyle name="60% - Accent3" xfId="4" builtinId="40"/>
    <cellStyle name="Accent6" xfId="5" builtinId="49"/>
    <cellStyle name="Comma" xfId="1" builtinId="3"/>
    <cellStyle name="Hyperlink" xfId="2" builtinId="8"/>
    <cellStyle name="Normal" xfId="0" builtinId="0"/>
    <cellStyle name="Percent" xfId="6" builtinId="5"/>
  </cellStyles>
  <dxfs count="19">
    <dxf>
      <font>
        <b/>
        <i val="0"/>
        <color theme="0"/>
      </font>
      <fill>
        <patternFill>
          <bgColor theme="5"/>
        </patternFill>
      </fill>
    </dxf>
    <dxf>
      <font>
        <b val="0"/>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0"/>
        <name val="Calibri"/>
        <scheme val="minor"/>
      </font>
      <fill>
        <patternFill patternType="solid">
          <fgColor theme="4"/>
          <bgColor rgb="FF0275D8"/>
        </patternFill>
      </fill>
      <alignment horizontal="center" vertical="bottom" textRotation="0" wrapText="0" relativeIndent="0" justifyLastLine="0" shrinkToFit="0" readingOrder="0"/>
      <border diagonalUp="0" diagonalDown="0" outline="0">
        <left/>
        <right style="thin">
          <color theme="4"/>
        </right>
        <top/>
        <bottom/>
      </border>
    </dxf>
    <dxf>
      <font>
        <b val="0"/>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0"/>
        <name val="Calibri"/>
        <scheme val="minor"/>
      </font>
      <fill>
        <patternFill patternType="solid">
          <fgColor theme="4"/>
          <bgColor rgb="FF0275D8"/>
        </patternFill>
      </fill>
      <alignment horizontal="center" vertical="bottom" textRotation="0" wrapText="0" relativeIndent="0" justifyLastLine="0" shrinkToFit="0" readingOrder="0"/>
      <border diagonalUp="0" diagonalDown="0" outline="0">
        <left/>
        <right/>
        <top/>
        <bottom/>
      </border>
    </dxf>
    <dxf>
      <font>
        <b/>
        <i val="0"/>
        <strike val="0"/>
        <condense val="0"/>
        <extend val="0"/>
        <outline val="0"/>
        <shadow val="0"/>
        <u val="none"/>
        <vertAlign val="baseline"/>
        <sz val="11"/>
        <color theme="0"/>
        <name val="Calibri"/>
        <scheme val="minor"/>
      </font>
      <fill>
        <patternFill patternType="solid">
          <fgColor theme="4"/>
          <bgColor rgb="FF0275D8"/>
        </patternFill>
      </fill>
      <alignment horizontal="center" vertical="bottom" textRotation="0" wrapText="0" relativeIndent="0" justifyLastLine="0" shrinkToFit="0" readingOrder="0"/>
      <border diagonalUp="0" diagonalDown="0" outline="0">
        <left/>
        <right/>
        <top/>
        <bottom/>
      </border>
    </dxf>
    <dxf>
      <font>
        <b/>
        <i val="0"/>
        <strike val="0"/>
        <condense val="0"/>
        <extend val="0"/>
        <outline val="0"/>
        <shadow val="0"/>
        <u val="none"/>
        <vertAlign val="baseline"/>
        <sz val="11"/>
        <color theme="0"/>
        <name val="Calibri"/>
        <scheme val="minor"/>
      </font>
      <numFmt numFmtId="165" formatCode="[$-409]mmm\-yy;@"/>
      <fill>
        <patternFill patternType="solid">
          <fgColor theme="4"/>
          <bgColor rgb="FF0275D8"/>
        </patternFill>
      </fill>
      <alignment horizontal="center" vertical="bottom" textRotation="0" wrapText="0" relativeIndent="0" justifyLastLine="0" shrinkToFit="0" readingOrder="0"/>
      <border diagonalUp="0" diagonalDown="0" outline="0">
        <left/>
        <right/>
        <top/>
        <bottom/>
      </border>
    </dxf>
    <dxf>
      <font>
        <b/>
        <i val="0"/>
        <strike val="0"/>
        <condense val="0"/>
        <extend val="0"/>
        <outline val="0"/>
        <shadow val="0"/>
        <u val="none"/>
        <vertAlign val="baseline"/>
        <sz val="11"/>
        <color theme="0"/>
        <name val="Calibri"/>
        <scheme val="minor"/>
      </font>
      <numFmt numFmtId="165" formatCode="[$-409]mmm\-yy;@"/>
      <fill>
        <patternFill patternType="solid">
          <fgColor theme="4"/>
          <bgColor rgb="FF0275D8"/>
        </patternFill>
      </fill>
      <alignment horizontal="center" vertical="bottom" textRotation="0" wrapText="0" relativeIndent="0" justifyLastLine="0" shrinkToFit="0" readingOrder="0"/>
      <border diagonalUp="0" diagonalDown="0" outline="0">
        <left/>
        <right/>
        <top/>
        <bottom/>
      </border>
    </dxf>
    <dxf>
      <font>
        <b/>
        <i val="0"/>
        <strike val="0"/>
        <condense val="0"/>
        <extend val="0"/>
        <outline val="0"/>
        <shadow val="0"/>
        <u val="none"/>
        <vertAlign val="baseline"/>
        <sz val="11"/>
        <color theme="0"/>
        <name val="Calibri"/>
        <scheme val="minor"/>
      </font>
      <numFmt numFmtId="165" formatCode="[$-409]mmm\-yy;@"/>
      <fill>
        <patternFill patternType="solid">
          <fgColor theme="4"/>
          <bgColor rgb="FF0275D8"/>
        </patternFill>
      </fill>
      <alignment horizontal="center" vertical="bottom" textRotation="0" wrapText="0" relativeIndent="0" justifyLastLine="0" shrinkToFit="0" readingOrder="0"/>
      <border diagonalUp="0" diagonalDown="0" outline="0">
        <left/>
        <right/>
        <top/>
        <bottom/>
      </border>
    </dxf>
    <dxf>
      <font>
        <b/>
        <i val="0"/>
        <strike val="0"/>
        <condense val="0"/>
        <extend val="0"/>
        <outline val="0"/>
        <shadow val="0"/>
        <u val="none"/>
        <vertAlign val="baseline"/>
        <sz val="11"/>
        <color theme="0"/>
        <name val="Calibri"/>
        <scheme val="minor"/>
      </font>
      <numFmt numFmtId="165" formatCode="[$-409]mmm\-yy;@"/>
      <fill>
        <patternFill patternType="solid">
          <fgColor theme="4"/>
          <bgColor rgb="FF0275D8"/>
        </patternFill>
      </fill>
      <alignment horizontal="center" vertical="bottom" textRotation="0" wrapText="0" relativeIndent="0" justifyLastLine="0" shrinkToFit="0" readingOrder="0"/>
      <border diagonalUp="0" diagonalDown="0" outline="0">
        <left/>
        <right/>
        <top/>
        <bottom/>
      </border>
    </dxf>
    <dxf>
      <font>
        <b/>
        <i val="0"/>
        <strike val="0"/>
        <condense val="0"/>
        <extend val="0"/>
        <outline val="0"/>
        <shadow val="0"/>
        <u val="none"/>
        <vertAlign val="baseline"/>
        <sz val="11"/>
        <color theme="0"/>
        <name val="Calibri"/>
        <scheme val="minor"/>
      </font>
      <numFmt numFmtId="165" formatCode="[$-409]mmm\-yy;@"/>
      <fill>
        <patternFill patternType="solid">
          <fgColor theme="4"/>
          <bgColor rgb="FF0275D8"/>
        </patternFill>
      </fill>
      <alignment horizontal="center" vertical="bottom" textRotation="0" wrapText="0" relativeIndent="0" justifyLastLine="0" shrinkToFit="0" readingOrder="0"/>
      <border diagonalUp="0" diagonalDown="0" outline="0">
        <left/>
        <right/>
        <top/>
        <bottom/>
      </border>
    </dxf>
    <dxf>
      <font>
        <b/>
        <i val="0"/>
        <strike val="0"/>
        <condense val="0"/>
        <extend val="0"/>
        <outline val="0"/>
        <shadow val="0"/>
        <u val="none"/>
        <vertAlign val="baseline"/>
        <sz val="11"/>
        <color theme="0"/>
        <name val="Calibri"/>
        <scheme val="minor"/>
      </font>
      <numFmt numFmtId="165" formatCode="[$-409]mmm\-yy;@"/>
      <fill>
        <patternFill patternType="solid">
          <fgColor theme="4"/>
          <bgColor rgb="FF0275D8"/>
        </patternFill>
      </fill>
      <alignment horizontal="center" vertical="bottom" textRotation="0" wrapText="0" relativeIndent="0" justifyLastLine="0" shrinkToFit="0" readingOrder="0"/>
      <border diagonalUp="0" diagonalDown="0" outline="0">
        <left/>
        <right/>
        <top/>
        <bottom/>
      </border>
    </dxf>
    <dxf>
      <font>
        <b/>
        <i val="0"/>
        <strike val="0"/>
        <condense val="0"/>
        <extend val="0"/>
        <outline val="0"/>
        <shadow val="0"/>
        <u val="none"/>
        <vertAlign val="baseline"/>
        <sz val="11"/>
        <color theme="0"/>
        <name val="Calibri"/>
        <scheme val="minor"/>
      </font>
      <numFmt numFmtId="165" formatCode="[$-409]mmm\-yy;@"/>
      <fill>
        <patternFill patternType="solid">
          <fgColor theme="4"/>
          <bgColor rgb="FF0275D8"/>
        </patternFill>
      </fill>
      <alignment horizontal="center" vertical="bottom" textRotation="0" wrapText="0" relativeIndent="0" justifyLastLine="0" shrinkToFit="0" readingOrder="0"/>
      <border diagonalUp="0" diagonalDown="0" outline="0">
        <left/>
        <right/>
        <top/>
        <bottom/>
      </border>
    </dxf>
    <dxf>
      <font>
        <b/>
        <i val="0"/>
        <strike val="0"/>
        <condense val="0"/>
        <extend val="0"/>
        <outline val="0"/>
        <shadow val="0"/>
        <u val="none"/>
        <vertAlign val="baseline"/>
        <sz val="11"/>
        <color theme="0"/>
        <name val="Calibri"/>
        <scheme val="minor"/>
      </font>
      <numFmt numFmtId="165" formatCode="[$-409]mmm\-yy;@"/>
      <fill>
        <patternFill patternType="solid">
          <fgColor theme="4"/>
          <bgColor rgb="FF0275D8"/>
        </patternFill>
      </fill>
      <alignment horizontal="center" vertical="bottom" textRotation="0" wrapText="0" relativeIndent="0" justifyLastLine="0" shrinkToFit="0" readingOrder="0"/>
      <border diagonalUp="0" diagonalDown="0" outline="0">
        <left/>
        <right/>
        <top/>
        <bottom/>
      </border>
    </dxf>
    <dxf>
      <font>
        <b/>
        <i val="0"/>
        <strike val="0"/>
        <condense val="0"/>
        <extend val="0"/>
        <outline val="0"/>
        <shadow val="0"/>
        <u val="none"/>
        <vertAlign val="baseline"/>
        <sz val="11"/>
        <color theme="0"/>
        <name val="Calibri"/>
        <scheme val="minor"/>
      </font>
      <numFmt numFmtId="165" formatCode="[$-409]mmm\-yy;@"/>
      <fill>
        <patternFill patternType="solid">
          <fgColor theme="4"/>
          <bgColor rgb="FF0275D8"/>
        </patternFill>
      </fill>
      <alignment horizontal="center" vertical="bottom" textRotation="0" wrapText="0" relativeIndent="0" justifyLastLine="0" shrinkToFit="0" readingOrder="0"/>
      <border diagonalUp="0" diagonalDown="0" outline="0">
        <left/>
        <right/>
        <top/>
        <bottom/>
      </border>
    </dxf>
    <dxf>
      <font>
        <b/>
        <i val="0"/>
        <strike val="0"/>
        <condense val="0"/>
        <extend val="0"/>
        <outline val="0"/>
        <shadow val="0"/>
        <u val="none"/>
        <vertAlign val="baseline"/>
        <sz val="11"/>
        <color theme="0"/>
        <name val="Calibri"/>
        <scheme val="minor"/>
      </font>
      <numFmt numFmtId="165" formatCode="[$-409]mmm\-yy;@"/>
      <fill>
        <patternFill patternType="solid">
          <fgColor theme="4"/>
          <bgColor rgb="FF0275D8"/>
        </patternFill>
      </fill>
      <alignment horizontal="center" vertical="bottom" textRotation="0" wrapText="0" relativeIndent="0" justifyLastLine="0" shrinkToFit="0" readingOrder="0"/>
      <border diagonalUp="0" diagonalDown="0" outline="0">
        <left/>
        <right/>
        <top/>
        <bottom/>
      </border>
    </dxf>
    <dxf>
      <font>
        <b val="0"/>
        <i val="0"/>
        <strike val="0"/>
        <condense val="0"/>
        <extend val="0"/>
        <outline val="0"/>
        <shadow val="0"/>
        <u val="none"/>
        <vertAlign val="baseline"/>
        <sz val="11"/>
        <color theme="1"/>
        <name val="Calibri"/>
        <scheme val="minor"/>
      </font>
    </dxf>
    <dxf>
      <font>
        <b/>
        <i val="0"/>
        <strike val="0"/>
        <condense val="0"/>
        <extend val="0"/>
        <outline val="0"/>
        <shadow val="0"/>
        <u val="none"/>
        <vertAlign val="baseline"/>
        <sz val="11"/>
        <color theme="0"/>
        <name val="Calibri"/>
        <scheme val="minor"/>
      </font>
      <fill>
        <patternFill patternType="solid">
          <fgColor theme="4"/>
          <bgColor rgb="FF0275D8"/>
        </patternFill>
      </fill>
      <border diagonalUp="0" diagonalDown="0" outline="0">
        <left/>
        <right/>
        <top/>
        <bottom/>
      </border>
    </dxf>
    <dxf>
      <font>
        <b/>
        <i val="0"/>
        <strike val="0"/>
        <condense val="0"/>
        <extend val="0"/>
        <outline val="0"/>
        <shadow val="0"/>
        <u val="none"/>
        <vertAlign val="baseline"/>
        <sz val="11"/>
        <color theme="0"/>
        <name val="Calibri"/>
        <scheme val="minor"/>
      </font>
      <fill>
        <patternFill patternType="solid">
          <fgColor theme="4"/>
          <bgColor rgb="FF0275D8"/>
        </patternFill>
      </fill>
      <alignment horizontal="center" vertical="bottom" textRotation="0" wrapText="0" relativeIndent="0" justifyLastLine="0" shrinkToFit="0" readingOrder="0"/>
    </dxf>
  </dxfs>
  <tableStyles count="1" defaultTableStyle="TableStyleMedium9" defaultPivotStyle="PivotStyleLight16">
    <tableStyle name="Invisible" pivot="0" table="0" count="0" xr9:uid="{A551D7A3-5BE0-4B08-8BFF-90A1BE0FBC9B}"/>
  </tableStyles>
  <colors>
    <mruColors>
      <color rgb="FF3333FF"/>
      <color rgb="FF0275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14</xdr:col>
      <xdr:colOff>875140</xdr:colOff>
      <xdr:row>3</xdr:row>
      <xdr:rowOff>2758</xdr:rowOff>
    </xdr:from>
    <xdr:to>
      <xdr:col>16</xdr:col>
      <xdr:colOff>541017</xdr:colOff>
      <xdr:row>5</xdr:row>
      <xdr:rowOff>106680</xdr:rowOff>
    </xdr:to>
    <xdr:pic>
      <xdr:nvPicPr>
        <xdr:cNvPr id="3" name="Picture 2">
          <a:extLst>
            <a:ext uri="{FF2B5EF4-FFF2-40B4-BE49-F238E27FC236}">
              <a16:creationId xmlns:a16="http://schemas.microsoft.com/office/drawing/2014/main" id="{FC0FA024-40A2-D5C7-605D-536568F5A93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750991" y="570205"/>
          <a:ext cx="1603303" cy="557879"/>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Annual" displayName="Annual" ref="A3:N27" headerRowCount="0" totalsRowShown="0" headerRowDxfId="18">
  <tableColumns count="14">
    <tableColumn id="1" xr3:uid="{00000000-0010-0000-0000-000001000000}" name="Column1" headerRowDxfId="17" dataDxfId="16"/>
    <tableColumn id="2" xr3:uid="{00000000-0010-0000-0000-000002000000}" name="Column2" headerRowDxfId="15"/>
    <tableColumn id="3" xr3:uid="{00000000-0010-0000-0000-000003000000}" name="Column3" headerRowDxfId="14"/>
    <tableColumn id="4" xr3:uid="{00000000-0010-0000-0000-000004000000}" name="Column4" headerRowDxfId="13"/>
    <tableColumn id="5" xr3:uid="{00000000-0010-0000-0000-000005000000}" name="Column5" headerRowDxfId="12"/>
    <tableColumn id="6" xr3:uid="{00000000-0010-0000-0000-000006000000}" name="Column6" headerRowDxfId="11"/>
    <tableColumn id="7" xr3:uid="{00000000-0010-0000-0000-000007000000}" name="Column7" headerRowDxfId="10"/>
    <tableColumn id="8" xr3:uid="{00000000-0010-0000-0000-000008000000}" name="Column8" headerRowDxfId="9"/>
    <tableColumn id="9" xr3:uid="{00000000-0010-0000-0000-000009000000}" name="Column9" headerRowDxfId="8"/>
    <tableColumn id="10" xr3:uid="{00000000-0010-0000-0000-00000A000000}" name="Column10" headerRowDxfId="7"/>
    <tableColumn id="11" xr3:uid="{00000000-0010-0000-0000-00000B000000}" name="Column11" headerRowDxfId="6"/>
    <tableColumn id="12" xr3:uid="{00000000-0010-0000-0000-00000C000000}" name="Column12" headerRowDxfId="5"/>
    <tableColumn id="13" xr3:uid="{00000000-0010-0000-0000-00000D000000}" name="Column13" headerRowDxfId="4" dataDxfId="3"/>
    <tableColumn id="14" xr3:uid="{00000000-0010-0000-0000-00000E000000}" name="Column14" headerRowDxfId="2" dataDxfId="1"/>
  </tableColumns>
  <tableStyleInfo showFirstColumn="0" showLastColumn="0" showRowStripes="0" showColumnStripes="0"/>
</table>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Adjacency">
  <a:themeElements>
    <a:clrScheme name="Concourse">
      <a:dk1>
        <a:sysClr val="windowText" lastClr="000000"/>
      </a:dk1>
      <a:lt1>
        <a:sysClr val="window" lastClr="FFFFFF"/>
      </a:lt1>
      <a:dk2>
        <a:srgbClr val="464646"/>
      </a:dk2>
      <a:lt2>
        <a:srgbClr val="DEF5FA"/>
      </a:lt2>
      <a:accent1>
        <a:srgbClr val="2DA2BF"/>
      </a:accent1>
      <a:accent2>
        <a:srgbClr val="DA1F28"/>
      </a:accent2>
      <a:accent3>
        <a:srgbClr val="EB641B"/>
      </a:accent3>
      <a:accent4>
        <a:srgbClr val="39639D"/>
      </a:accent4>
      <a:accent5>
        <a:srgbClr val="474B78"/>
      </a:accent5>
      <a:accent6>
        <a:srgbClr val="7D3C4A"/>
      </a:accent6>
      <a:hlink>
        <a:srgbClr val="FF8119"/>
      </a:hlink>
      <a:folHlink>
        <a:srgbClr val="44B9E8"/>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Adjacency">
      <a:fillStyleLst>
        <a:solidFill>
          <a:schemeClr val="phClr"/>
        </a:solidFill>
        <a:solidFill>
          <a:schemeClr val="phClr">
            <a:tint val="55000"/>
          </a:schemeClr>
        </a:solidFill>
        <a:solidFill>
          <a:schemeClr val="phClr"/>
        </a:solidFill>
      </a:fillStyleLst>
      <a:lnStyleLst>
        <a:ln w="12700"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outerShdw blurRad="50800" dist="25400" algn="bl" rotWithShape="0">
              <a:srgbClr val="000000">
                <a:alpha val="60000"/>
              </a:srgbClr>
            </a:outerShdw>
          </a:effectLst>
        </a:effectStyle>
        <a:effectStyle>
          <a:effectLst/>
          <a:scene3d>
            <a:camera prst="orthographicFront">
              <a:rot lat="0" lon="0" rev="0"/>
            </a:camera>
            <a:lightRig rig="brightRoom" dir="tl">
              <a:rot lat="0" lon="0" rev="1800000"/>
            </a:lightRig>
          </a:scene3d>
          <a:sp3d contourW="10160" prstMaterial="dkEdge">
            <a:bevelT w="38100" h="50800" prst="angle"/>
            <a:contourClr>
              <a:schemeClr val="phClr">
                <a:shade val="40000"/>
                <a:satMod val="150000"/>
              </a:schemeClr>
            </a:contourClr>
          </a:sp3d>
        </a:effectStyle>
      </a:effectStyleLst>
      <a:bgFillStyleLst>
        <a:solidFill>
          <a:schemeClr val="phClr"/>
        </a:solidFill>
        <a:gradFill rotWithShape="1">
          <a:gsLst>
            <a:gs pos="0">
              <a:schemeClr val="phClr">
                <a:tint val="90000"/>
              </a:schemeClr>
            </a:gs>
            <a:gs pos="75000">
              <a:schemeClr val="phClr">
                <a:shade val="100000"/>
                <a:satMod val="115000"/>
              </a:schemeClr>
            </a:gs>
            <a:gs pos="100000">
              <a:schemeClr val="phClr">
                <a:shade val="70000"/>
                <a:satMod val="130000"/>
              </a:schemeClr>
            </a:gs>
          </a:gsLst>
          <a:path path="circle">
            <a:fillToRect l="20000" t="50000" r="100000" b="50000"/>
          </a:path>
        </a:gradFill>
        <a:blipFill rotWithShape="1">
          <a:blip xmlns:r="http://schemas.openxmlformats.org/officeDocument/2006/relationships" r:embed="rId1">
            <a:duotone>
              <a:schemeClr val="phClr">
                <a:tint val="97000"/>
              </a:schemeClr>
              <a:schemeClr val="phClr">
                <a:shade val="96000"/>
              </a:schemeClr>
            </a:duotone>
          </a:blip>
          <a:tile tx="0" ty="0" sx="32000" sy="32000" flip="none" algn="tl"/>
        </a:blip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http://www.screener.in/"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screener.in/"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screener.in/"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screener.in/excel/" TargetMode="Externa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N36"/>
  <sheetViews>
    <sheetView zoomScale="120" zoomScaleNormal="120" zoomScaleSheetLayoutView="100" zoomScalePageLayoutView="120" workbookViewId="0">
      <pane xSplit="1" ySplit="4" topLeftCell="B25" activePane="bottomRight" state="frozen"/>
      <selection activeCell="I2" sqref="I2"/>
      <selection pane="topRight" activeCell="I2" sqref="I2"/>
      <selection pane="bottomLeft" activeCell="I2" sqref="I2"/>
      <selection pane="bottomRight" activeCell="G45" sqref="G45"/>
    </sheetView>
  </sheetViews>
  <sheetFormatPr defaultColWidth="8.77734375" defaultRowHeight="14.4" x14ac:dyDescent="0.3"/>
  <cols>
    <col min="1" max="1" width="21.5546875" customWidth="1"/>
    <col min="2" max="6" width="13.44140625" customWidth="1"/>
    <col min="7" max="7" width="14.77734375" bestFit="1" customWidth="1"/>
    <col min="8" max="11" width="13.44140625" customWidth="1"/>
    <col min="12" max="12" width="13.33203125" customWidth="1"/>
    <col min="13" max="14" width="12.109375" customWidth="1"/>
  </cols>
  <sheetData>
    <row r="1" spans="1:14" s="2" customFormat="1" x14ac:dyDescent="0.3">
      <c r="A1" s="2" t="str">
        <f>'Data Sheet'!B1</f>
        <v>CIPLA LTD</v>
      </c>
      <c r="H1" t="str">
        <f>UPDATE</f>
        <v/>
      </c>
      <c r="J1" s="3"/>
      <c r="K1" s="3"/>
      <c r="M1" s="2" t="s">
        <v>1</v>
      </c>
    </row>
    <row r="3" spans="1:14" s="2" customFormat="1" x14ac:dyDescent="0.3">
      <c r="A3" s="11" t="s">
        <v>2</v>
      </c>
      <c r="B3" s="12">
        <f>'Data Sheet'!B16</f>
        <v>42460</v>
      </c>
      <c r="C3" s="12">
        <f>'Data Sheet'!C16</f>
        <v>42825</v>
      </c>
      <c r="D3" s="12">
        <f>'Data Sheet'!D16</f>
        <v>43190</v>
      </c>
      <c r="E3" s="12">
        <f>'Data Sheet'!E16</f>
        <v>43555</v>
      </c>
      <c r="F3" s="12">
        <f>'Data Sheet'!F16</f>
        <v>43921</v>
      </c>
      <c r="G3" s="12">
        <f>'Data Sheet'!G16</f>
        <v>44286</v>
      </c>
      <c r="H3" s="12">
        <f>'Data Sheet'!H16</f>
        <v>44651</v>
      </c>
      <c r="I3" s="12">
        <f>'Data Sheet'!I16</f>
        <v>45016</v>
      </c>
      <c r="J3" s="12">
        <f>'Data Sheet'!J16</f>
        <v>45382</v>
      </c>
      <c r="K3" s="12">
        <f>'Data Sheet'!K16</f>
        <v>45747</v>
      </c>
      <c r="L3" s="13" t="s">
        <v>3</v>
      </c>
      <c r="M3" s="13" t="s">
        <v>4</v>
      </c>
      <c r="N3" s="13" t="s">
        <v>5</v>
      </c>
    </row>
    <row r="4" spans="1:14" s="2" customFormat="1" x14ac:dyDescent="0.3">
      <c r="A4" s="2" t="s">
        <v>6</v>
      </c>
      <c r="B4" s="1">
        <f>'Data Sheet'!B17</f>
        <v>13790.1</v>
      </c>
      <c r="C4" s="1">
        <f>'Data Sheet'!C17</f>
        <v>14394.29</v>
      </c>
      <c r="D4" s="1">
        <f>'Data Sheet'!D17</f>
        <v>15155.71</v>
      </c>
      <c r="E4" s="1">
        <f>'Data Sheet'!E17</f>
        <v>16362.41</v>
      </c>
      <c r="F4" s="1">
        <f>'Data Sheet'!F17</f>
        <v>17131.990000000002</v>
      </c>
      <c r="G4" s="1">
        <f>'Data Sheet'!G17</f>
        <v>19159.59</v>
      </c>
      <c r="H4" s="1">
        <f>'Data Sheet'!H17</f>
        <v>21763.34</v>
      </c>
      <c r="I4" s="1">
        <f>'Data Sheet'!I17</f>
        <v>22753.119999999999</v>
      </c>
      <c r="J4" s="1">
        <f>'Data Sheet'!J17</f>
        <v>25774.09</v>
      </c>
      <c r="K4" s="1">
        <f>'Data Sheet'!K17</f>
        <v>27547.62</v>
      </c>
      <c r="L4" s="1" t="e">
        <f>SUM(#REF!)</f>
        <v>#REF!</v>
      </c>
      <c r="M4" s="1">
        <f>$K4+M31*K4</f>
        <v>29799.130752040201</v>
      </c>
      <c r="N4" s="1" t="e">
        <f>$K4+N31*L4</f>
        <v>#REF!</v>
      </c>
    </row>
    <row r="5" spans="1:14" s="2" customFormat="1" x14ac:dyDescent="0.3">
      <c r="A5" s="24" t="s">
        <v>22</v>
      </c>
      <c r="B5" s="25" t="str">
        <f>IFERROR(B4/A4-1,"-")</f>
        <v>-</v>
      </c>
      <c r="C5" s="22">
        <f>IFERROR(C4/B4-1,"-")</f>
        <v>4.3813315349417348E-2</v>
      </c>
      <c r="D5" s="22">
        <f t="shared" ref="D5:K5" si="0">IFERROR(D4/C4-1,"-")</f>
        <v>5.2897364163150717E-2</v>
      </c>
      <c r="E5" s="22">
        <f t="shared" si="0"/>
        <v>7.9620156363509276E-2</v>
      </c>
      <c r="F5" s="22">
        <f t="shared" si="0"/>
        <v>4.7033413781955247E-2</v>
      </c>
      <c r="G5" s="22">
        <f t="shared" si="0"/>
        <v>0.11835169177661187</v>
      </c>
      <c r="H5" s="22">
        <f t="shared" si="0"/>
        <v>0.13589800199273583</v>
      </c>
      <c r="I5" s="22">
        <f t="shared" si="0"/>
        <v>4.5479232507510181E-2</v>
      </c>
      <c r="J5" s="22">
        <f t="shared" si="0"/>
        <v>0.13277168142215223</v>
      </c>
      <c r="K5" s="22">
        <f t="shared" si="0"/>
        <v>6.8810576823468805E-2</v>
      </c>
      <c r="L5" s="1"/>
      <c r="M5" s="1"/>
      <c r="N5" s="1"/>
    </row>
    <row r="6" spans="1:14" s="2" customFormat="1" x14ac:dyDescent="0.3">
      <c r="B6" s="1"/>
      <c r="C6" s="1"/>
      <c r="D6" s="1"/>
      <c r="E6" s="1"/>
      <c r="F6" s="1"/>
      <c r="G6" s="1"/>
      <c r="H6" s="1"/>
      <c r="I6" s="1"/>
      <c r="J6" s="1"/>
      <c r="K6" s="1"/>
      <c r="L6" s="1"/>
      <c r="M6" s="1"/>
      <c r="N6" s="1"/>
    </row>
    <row r="7" spans="1:14" x14ac:dyDescent="0.3">
      <c r="A7" t="s">
        <v>7</v>
      </c>
      <c r="B7" s="6">
        <f>SUM('Data Sheet'!B18,'Data Sheet'!B20:B24, -1*'Data Sheet'!B19)</f>
        <v>11310.429999999998</v>
      </c>
      <c r="C7" s="6">
        <f>SUM('Data Sheet'!C18,'Data Sheet'!C20:C24, -1*'Data Sheet'!C19)</f>
        <v>11897.98</v>
      </c>
      <c r="D7" s="6">
        <f>SUM('Data Sheet'!D18,'Data Sheet'!D20:D24, -1*'Data Sheet'!D19)</f>
        <v>12329.329999999998</v>
      </c>
      <c r="E7" s="6">
        <f>SUM('Data Sheet'!E18,'Data Sheet'!E20:E24, -1*'Data Sheet'!E19)</f>
        <v>13265.1</v>
      </c>
      <c r="F7" s="6">
        <f>SUM('Data Sheet'!F18,'Data Sheet'!F20:F24, -1*'Data Sheet'!F19)</f>
        <v>13926</v>
      </c>
      <c r="G7" s="6">
        <f>SUM('Data Sheet'!G18,'Data Sheet'!G20:G24, -1*'Data Sheet'!G19)</f>
        <v>14907.160000000002</v>
      </c>
      <c r="H7" s="6">
        <f>SUM('Data Sheet'!H18,'Data Sheet'!H20:H24, -1*'Data Sheet'!H19)</f>
        <v>17210.560000000001</v>
      </c>
      <c r="I7" s="6">
        <f>SUM('Data Sheet'!I18,'Data Sheet'!I20:I24, -1*'Data Sheet'!I19)</f>
        <v>17726.150000000001</v>
      </c>
      <c r="J7" s="6">
        <f>SUM('Data Sheet'!J18,'Data Sheet'!J20:J24, -1*'Data Sheet'!J19)</f>
        <v>19483.04</v>
      </c>
      <c r="K7" s="6">
        <f>SUM('Data Sheet'!K18,'Data Sheet'!K20:K24, -1*'Data Sheet'!K19)</f>
        <v>20419.72</v>
      </c>
      <c r="L7" s="6" t="e">
        <f>SUM(#REF!)</f>
        <v>#REF!</v>
      </c>
      <c r="M7" s="6" t="e">
        <f>M4-M8</f>
        <v>#REF!</v>
      </c>
      <c r="N7" s="6" t="e">
        <f>N4-N8</f>
        <v>#REF!</v>
      </c>
    </row>
    <row r="8" spans="1:14" s="2" customFormat="1" x14ac:dyDescent="0.3">
      <c r="A8" s="2" t="s">
        <v>83</v>
      </c>
      <c r="B8" s="1">
        <f t="shared" ref="B8:K8" si="1">B4-B7</f>
        <v>2479.6700000000019</v>
      </c>
      <c r="C8" s="1">
        <f t="shared" si="1"/>
        <v>2496.3100000000013</v>
      </c>
      <c r="D8" s="1">
        <f t="shared" si="1"/>
        <v>2826.380000000001</v>
      </c>
      <c r="E8" s="1">
        <f t="shared" si="1"/>
        <v>3097.3099999999995</v>
      </c>
      <c r="F8" s="1">
        <f t="shared" si="1"/>
        <v>3205.9900000000016</v>
      </c>
      <c r="G8" s="1">
        <f t="shared" si="1"/>
        <v>4252.4299999999985</v>
      </c>
      <c r="H8" s="1">
        <f t="shared" si="1"/>
        <v>4552.7799999999988</v>
      </c>
      <c r="I8" s="1">
        <f t="shared" si="1"/>
        <v>5026.9699999999975</v>
      </c>
      <c r="J8" s="1">
        <f t="shared" si="1"/>
        <v>6291.0499999999993</v>
      </c>
      <c r="K8" s="1">
        <f t="shared" si="1"/>
        <v>7127.8999999999978</v>
      </c>
      <c r="L8" s="1" t="e">
        <f>SUM(#REF!)</f>
        <v>#REF!</v>
      </c>
      <c r="M8" s="1" t="e">
        <f>M4*M32</f>
        <v>#REF!</v>
      </c>
      <c r="N8" s="1" t="e">
        <f>N4*N32</f>
        <v>#REF!</v>
      </c>
    </row>
    <row r="9" spans="1:14" x14ac:dyDescent="0.3">
      <c r="A9" s="21" t="s">
        <v>84</v>
      </c>
      <c r="B9" s="26">
        <f>B8/B4</f>
        <v>0.17981522976628175</v>
      </c>
      <c r="C9" s="26">
        <f t="shared" ref="C9" si="2">C8/C4</f>
        <v>0.17342362839709366</v>
      </c>
      <c r="D9" s="26">
        <f>D8/D4</f>
        <v>0.18648944853127972</v>
      </c>
      <c r="E9" s="26">
        <f t="shared" ref="E9:K9" si="3">E8/E4</f>
        <v>0.18929424210736678</v>
      </c>
      <c r="F9" s="26">
        <f t="shared" si="3"/>
        <v>0.18713471114564048</v>
      </c>
      <c r="G9" s="26">
        <f t="shared" si="3"/>
        <v>0.22194786005337266</v>
      </c>
      <c r="H9" s="26">
        <f t="shared" si="3"/>
        <v>0.20919491217800204</v>
      </c>
      <c r="I9" s="26">
        <f t="shared" si="3"/>
        <v>0.22093541457171578</v>
      </c>
      <c r="J9" s="26">
        <f t="shared" si="3"/>
        <v>0.24408427222842782</v>
      </c>
      <c r="K9" s="26">
        <f t="shared" si="3"/>
        <v>0.25874830566125123</v>
      </c>
      <c r="L9" s="1"/>
      <c r="M9" s="1"/>
      <c r="N9" s="1"/>
    </row>
    <row r="10" spans="1:14" x14ac:dyDescent="0.3">
      <c r="A10" s="2"/>
      <c r="B10" s="1"/>
      <c r="C10" s="1"/>
      <c r="D10" s="1"/>
      <c r="E10" s="1"/>
      <c r="F10" s="1"/>
      <c r="G10" s="1"/>
      <c r="H10" s="1"/>
      <c r="I10" s="1"/>
      <c r="J10" s="1"/>
      <c r="K10" s="1"/>
      <c r="L10" s="1"/>
      <c r="M10" s="1"/>
      <c r="N10" s="1"/>
    </row>
    <row r="11" spans="1:14" x14ac:dyDescent="0.3">
      <c r="A11" t="s">
        <v>9</v>
      </c>
      <c r="B11" s="6">
        <f>'Data Sheet'!B25</f>
        <v>208.21</v>
      </c>
      <c r="C11" s="6">
        <f>'Data Sheet'!C25</f>
        <v>208.17</v>
      </c>
      <c r="D11" s="6">
        <f>'Data Sheet'!D25</f>
        <v>280.13</v>
      </c>
      <c r="E11" s="6">
        <f>'Data Sheet'!E25</f>
        <v>476.57</v>
      </c>
      <c r="F11" s="6">
        <f>'Data Sheet'!F25</f>
        <v>344.2</v>
      </c>
      <c r="G11" s="6">
        <f>'Data Sheet'!G25</f>
        <v>265.99</v>
      </c>
      <c r="H11" s="6">
        <f>'Data Sheet'!H25</f>
        <v>98.79</v>
      </c>
      <c r="I11" s="6">
        <f>'Data Sheet'!I25</f>
        <v>293.02999999999997</v>
      </c>
      <c r="J11" s="6">
        <f>'Data Sheet'!J25</f>
        <v>551.75</v>
      </c>
      <c r="K11" s="6">
        <f>'Data Sheet'!K25</f>
        <v>861.87</v>
      </c>
      <c r="L11" s="6" t="e">
        <f>SUM(#REF!)</f>
        <v>#REF!</v>
      </c>
      <c r="M11" s="6">
        <v>0</v>
      </c>
      <c r="N11" s="6">
        <v>0</v>
      </c>
    </row>
    <row r="12" spans="1:14" x14ac:dyDescent="0.3">
      <c r="A12" t="s">
        <v>10</v>
      </c>
      <c r="B12" s="6">
        <f>'Data Sheet'!B26</f>
        <v>754.22</v>
      </c>
      <c r="C12" s="6">
        <f>'Data Sheet'!C26</f>
        <v>1322.93</v>
      </c>
      <c r="D12" s="6">
        <f>'Data Sheet'!D26</f>
        <v>1322.82</v>
      </c>
      <c r="E12" s="6">
        <f>'Data Sheet'!E26</f>
        <v>1326.31</v>
      </c>
      <c r="F12" s="6">
        <f>'Data Sheet'!F26</f>
        <v>1174.6500000000001</v>
      </c>
      <c r="G12" s="6">
        <f>'Data Sheet'!G26</f>
        <v>1067.6600000000001</v>
      </c>
      <c r="H12" s="6">
        <f>'Data Sheet'!H26</f>
        <v>1051.95</v>
      </c>
      <c r="I12" s="6">
        <f>'Data Sheet'!I26</f>
        <v>1172.1099999999999</v>
      </c>
      <c r="J12" s="6">
        <f>'Data Sheet'!J26</f>
        <v>1051.02</v>
      </c>
      <c r="K12" s="6">
        <f>'Data Sheet'!K26</f>
        <v>1106.95</v>
      </c>
      <c r="L12" s="6" t="e">
        <f>SUM(#REF!)</f>
        <v>#REF!</v>
      </c>
      <c r="M12" s="6" t="e">
        <f>+$L12</f>
        <v>#REF!</v>
      </c>
      <c r="N12" s="6" t="e">
        <f>+$L12</f>
        <v>#REF!</v>
      </c>
    </row>
    <row r="13" spans="1:14" x14ac:dyDescent="0.3">
      <c r="B13" s="6"/>
      <c r="C13" s="6"/>
      <c r="D13" s="6"/>
      <c r="E13" s="6"/>
      <c r="F13" s="6"/>
      <c r="G13" s="6"/>
      <c r="H13" s="6"/>
      <c r="I13" s="6"/>
      <c r="J13" s="6"/>
      <c r="K13" s="6"/>
      <c r="L13" s="6"/>
      <c r="M13" s="6"/>
      <c r="N13" s="6"/>
    </row>
    <row r="14" spans="1:14" s="2" customFormat="1" x14ac:dyDescent="0.3">
      <c r="A14" s="21" t="s">
        <v>85</v>
      </c>
      <c r="B14" s="23">
        <f>B8-B12</f>
        <v>1725.4500000000019</v>
      </c>
      <c r="C14" s="23">
        <f t="shared" ref="C14:K14" si="4">C8-C12</f>
        <v>1173.3800000000012</v>
      </c>
      <c r="D14" s="23">
        <f t="shared" si="4"/>
        <v>1503.5600000000011</v>
      </c>
      <c r="E14" s="23">
        <f t="shared" si="4"/>
        <v>1770.9999999999995</v>
      </c>
      <c r="F14" s="23">
        <f t="shared" si="4"/>
        <v>2031.3400000000015</v>
      </c>
      <c r="G14" s="23">
        <f t="shared" si="4"/>
        <v>3184.7699999999986</v>
      </c>
      <c r="H14" s="23">
        <f t="shared" si="4"/>
        <v>3500.829999999999</v>
      </c>
      <c r="I14" s="23">
        <f t="shared" si="4"/>
        <v>3854.8599999999979</v>
      </c>
      <c r="J14" s="23">
        <f t="shared" si="4"/>
        <v>5240.0299999999988</v>
      </c>
      <c r="K14" s="23">
        <f t="shared" si="4"/>
        <v>6020.949999999998</v>
      </c>
      <c r="L14" s="6"/>
      <c r="M14" s="6"/>
      <c r="N14" s="6"/>
    </row>
    <row r="15" spans="1:14" x14ac:dyDescent="0.3">
      <c r="A15" s="21" t="s">
        <v>86</v>
      </c>
      <c r="B15" s="22">
        <f>B14/B4</f>
        <v>0.1251223703961539</v>
      </c>
      <c r="C15" s="22">
        <f>C14/C4</f>
        <v>8.1517045995321835E-2</v>
      </c>
      <c r="D15" s="22">
        <f t="shared" ref="D15:K15" si="5">D14/D4</f>
        <v>9.9207493413373649E-2</v>
      </c>
      <c r="E15" s="22">
        <f t="shared" si="5"/>
        <v>0.108235889456382</v>
      </c>
      <c r="F15" s="22">
        <f t="shared" si="5"/>
        <v>0.11856999683049087</v>
      </c>
      <c r="G15" s="22">
        <f t="shared" si="5"/>
        <v>0.16622328557135088</v>
      </c>
      <c r="H15" s="22">
        <f t="shared" si="5"/>
        <v>0.16085904093765016</v>
      </c>
      <c r="I15" s="22">
        <f t="shared" si="5"/>
        <v>0.16942116070235633</v>
      </c>
      <c r="J15" s="22">
        <f t="shared" si="5"/>
        <v>0.20330611090440046</v>
      </c>
      <c r="K15" s="22">
        <f t="shared" si="5"/>
        <v>0.21856516098305401</v>
      </c>
      <c r="L15" s="6"/>
      <c r="M15" s="6"/>
      <c r="N15" s="6"/>
    </row>
    <row r="16" spans="1:14" x14ac:dyDescent="0.3">
      <c r="B16" s="6"/>
      <c r="C16" s="6"/>
      <c r="D16" s="6"/>
      <c r="E16" s="6"/>
      <c r="F16" s="6"/>
      <c r="G16" s="6"/>
      <c r="H16" s="6"/>
      <c r="I16" s="6"/>
      <c r="J16" s="6"/>
      <c r="K16" s="6"/>
      <c r="L16" s="6"/>
      <c r="M16" s="6"/>
      <c r="N16" s="6"/>
    </row>
    <row r="17" spans="1:14" s="2" customFormat="1" x14ac:dyDescent="0.3">
      <c r="A17" t="s">
        <v>11</v>
      </c>
      <c r="B17" s="6">
        <f>'Data Sheet'!B27</f>
        <v>206.63</v>
      </c>
      <c r="C17" s="6">
        <f>'Data Sheet'!C27</f>
        <v>159.38</v>
      </c>
      <c r="D17" s="6">
        <f>'Data Sheet'!D27</f>
        <v>114.23</v>
      </c>
      <c r="E17" s="6">
        <f>'Data Sheet'!E27</f>
        <v>168.43</v>
      </c>
      <c r="F17" s="6">
        <f>'Data Sheet'!F27</f>
        <v>197.36</v>
      </c>
      <c r="G17" s="6">
        <f>'Data Sheet'!G27</f>
        <v>160.69999999999999</v>
      </c>
      <c r="H17" s="6">
        <f>'Data Sheet'!H27</f>
        <v>106.35</v>
      </c>
      <c r="I17" s="6">
        <f>'Data Sheet'!I27</f>
        <v>109.54</v>
      </c>
      <c r="J17" s="6">
        <f>'Data Sheet'!J27</f>
        <v>89.88</v>
      </c>
      <c r="K17" s="6">
        <f>'Data Sheet'!K27</f>
        <v>62.01</v>
      </c>
      <c r="L17" s="6" t="e">
        <f>SUM(#REF!)</f>
        <v>#REF!</v>
      </c>
      <c r="M17" s="6" t="e">
        <f>+$L17</f>
        <v>#REF!</v>
      </c>
      <c r="N17" s="6" t="e">
        <f>+$L17</f>
        <v>#REF!</v>
      </c>
    </row>
    <row r="18" spans="1:14" x14ac:dyDescent="0.3">
      <c r="A18" t="s">
        <v>12</v>
      </c>
      <c r="B18" s="6">
        <f>'Data Sheet'!B28</f>
        <v>1727.03</v>
      </c>
      <c r="C18" s="6">
        <f>'Data Sheet'!C28</f>
        <v>1222.17</v>
      </c>
      <c r="D18" s="6">
        <f>'Data Sheet'!D28</f>
        <v>1669.46</v>
      </c>
      <c r="E18" s="6">
        <f>'Data Sheet'!E28</f>
        <v>2079.14</v>
      </c>
      <c r="F18" s="6">
        <f>'Data Sheet'!F28</f>
        <v>2178.1799999999998</v>
      </c>
      <c r="G18" s="6">
        <f>'Data Sheet'!G28</f>
        <v>3290.06</v>
      </c>
      <c r="H18" s="6">
        <f>'Data Sheet'!H28</f>
        <v>3493.27</v>
      </c>
      <c r="I18" s="6">
        <f>'Data Sheet'!I28</f>
        <v>4038.35</v>
      </c>
      <c r="J18" s="6">
        <f>'Data Sheet'!J28</f>
        <v>5701.9</v>
      </c>
      <c r="K18" s="6">
        <f>'Data Sheet'!K28</f>
        <v>6820.81</v>
      </c>
      <c r="L18" s="6" t="e">
        <f>SUM(#REF!)</f>
        <v>#REF!</v>
      </c>
      <c r="M18" s="6" t="e">
        <f>M8+M11-SUM(M12:M17)</f>
        <v>#REF!</v>
      </c>
      <c r="N18" s="6" t="e">
        <f>N8+N11-SUM(N12:N17)</f>
        <v>#REF!</v>
      </c>
    </row>
    <row r="19" spans="1:14" s="2" customFormat="1" x14ac:dyDescent="0.3">
      <c r="A19" t="s">
        <v>13</v>
      </c>
      <c r="B19" s="6">
        <f>'Data Sheet'!B29</f>
        <v>331.59</v>
      </c>
      <c r="C19" s="6">
        <f>'Data Sheet'!C29</f>
        <v>179.76</v>
      </c>
      <c r="D19" s="6">
        <f>'Data Sheet'!D29</f>
        <v>250.11</v>
      </c>
      <c r="E19" s="6">
        <f>'Data Sheet'!E29</f>
        <v>569.53</v>
      </c>
      <c r="F19" s="6">
        <f>'Data Sheet'!F29</f>
        <v>631.20000000000005</v>
      </c>
      <c r="G19" s="6">
        <f>'Data Sheet'!G29</f>
        <v>888.76</v>
      </c>
      <c r="H19" s="6">
        <f>'Data Sheet'!H29</f>
        <v>933.8</v>
      </c>
      <c r="I19" s="6">
        <f>'Data Sheet'!I29</f>
        <v>1202.8599999999999</v>
      </c>
      <c r="J19" s="6">
        <f>'Data Sheet'!J29</f>
        <v>1546.59</v>
      </c>
      <c r="K19" s="6">
        <f>'Data Sheet'!K29</f>
        <v>1529.76</v>
      </c>
      <c r="L19" s="6" t="e">
        <f>SUM(#REF!)</f>
        <v>#REF!</v>
      </c>
      <c r="M19" s="7" t="e">
        <f>IF($L18&gt;0,$L19/$L18,0)</f>
        <v>#REF!</v>
      </c>
      <c r="N19" s="7" t="e">
        <f>IF($L18&gt;0,$L19/$L18,0)</f>
        <v>#REF!</v>
      </c>
    </row>
    <row r="20" spans="1:14" x14ac:dyDescent="0.3">
      <c r="A20" s="2" t="s">
        <v>14</v>
      </c>
      <c r="B20" s="1">
        <f>'Data Sheet'!B30</f>
        <v>1359.99</v>
      </c>
      <c r="C20" s="1">
        <f>'Data Sheet'!C30</f>
        <v>1006.39</v>
      </c>
      <c r="D20" s="1">
        <f>'Data Sheet'!D30</f>
        <v>1410.53</v>
      </c>
      <c r="E20" s="1">
        <f>'Data Sheet'!E30</f>
        <v>1527.7</v>
      </c>
      <c r="F20" s="1">
        <f>'Data Sheet'!F30</f>
        <v>1546.52</v>
      </c>
      <c r="G20" s="1">
        <f>'Data Sheet'!G30</f>
        <v>2404.87</v>
      </c>
      <c r="H20" s="1">
        <f>'Data Sheet'!H30</f>
        <v>2516.75</v>
      </c>
      <c r="I20" s="1">
        <f>'Data Sheet'!I30</f>
        <v>2801.91</v>
      </c>
      <c r="J20" s="1">
        <f>'Data Sheet'!J30</f>
        <v>4121.55</v>
      </c>
      <c r="K20" s="1">
        <f>'Data Sheet'!K30</f>
        <v>5272.52</v>
      </c>
      <c r="L20" s="1" t="e">
        <f>SUM(#REF!)</f>
        <v>#REF!</v>
      </c>
      <c r="M20" s="1" t="e">
        <f>M18-M19*M18</f>
        <v>#REF!</v>
      </c>
      <c r="N20" s="1" t="e">
        <f>N18-N19*N18</f>
        <v>#REF!</v>
      </c>
    </row>
    <row r="21" spans="1:14" x14ac:dyDescent="0.3">
      <c r="A21" t="s">
        <v>48</v>
      </c>
      <c r="B21" s="6">
        <f>IF('Data Sheet'!B93&gt;0,B20/'Data Sheet'!B93,0)</f>
        <v>16.92793129200896</v>
      </c>
      <c r="C21" s="6">
        <f>IF('Data Sheet'!C93&gt;0,C20/'Data Sheet'!C93,0)</f>
        <v>12.509509011808577</v>
      </c>
      <c r="D21" s="6">
        <f>IF('Data Sheet'!D93&gt;0,D20/'Data Sheet'!D93,0)</f>
        <v>17.51993541175009</v>
      </c>
      <c r="E21" s="6">
        <f>IF('Data Sheet'!E93&gt;0,E20/'Data Sheet'!E93,0)</f>
        <v>18.961151793471519</v>
      </c>
      <c r="F21" s="6">
        <f>IF('Data Sheet'!F93&gt;0,F20/'Data Sheet'!F93,0)</f>
        <v>19.182833043909699</v>
      </c>
      <c r="G21" s="6">
        <f>IF('Data Sheet'!G93&gt;0,G20/'Data Sheet'!G93,0)</f>
        <v>29.818598884066951</v>
      </c>
      <c r="H21" s="6">
        <f>IF('Data Sheet'!H93&gt;0,H20/'Data Sheet'!H93,0)</f>
        <v>31.194224095190876</v>
      </c>
      <c r="I21" s="6">
        <f>IF('Data Sheet'!I93&gt;0,I20/'Data Sheet'!I93,0)</f>
        <v>34.711471754212091</v>
      </c>
      <c r="J21" s="6">
        <f>IF('Data Sheet'!J93&gt;0,J20/'Data Sheet'!J93,0)</f>
        <v>51.04718850631658</v>
      </c>
      <c r="K21" s="6">
        <f>IF('Data Sheet'!K93&gt;0,K20/'Data Sheet'!K93,0)</f>
        <v>65.286280336800402</v>
      </c>
      <c r="L21" s="6" t="e">
        <f>IF('Data Sheet'!$B6&gt;0,'Profit &amp; Loss'!L20/'Data Sheet'!$B6,0)</f>
        <v>#REF!</v>
      </c>
      <c r="M21" s="6" t="e">
        <f>IF('Data Sheet'!$B6&gt;0,'Profit &amp; Loss'!M20/'Data Sheet'!$B6,0)</f>
        <v>#REF!</v>
      </c>
      <c r="N21" s="6" t="e">
        <f>IF('Data Sheet'!$B6&gt;0,'Profit &amp; Loss'!N20/'Data Sheet'!$B6,0)</f>
        <v>#REF!</v>
      </c>
    </row>
    <row r="22" spans="1:14" x14ac:dyDescent="0.3">
      <c r="A22" t="s">
        <v>16</v>
      </c>
      <c r="B22" s="6">
        <f>IF(B23&gt;0,B23/B21,"")</f>
        <v>30.242915756733506</v>
      </c>
      <c r="C22" s="6">
        <f t="shared" ref="C22:K22" si="6">IF(C23&gt;0,C23/C21,"")</f>
        <v>47.399941871441492</v>
      </c>
      <c r="D22" s="6">
        <f t="shared" si="6"/>
        <v>31.133105641141992</v>
      </c>
      <c r="E22" s="6">
        <f t="shared" si="6"/>
        <v>27.893875106369045</v>
      </c>
      <c r="F22" s="6">
        <f t="shared" si="6"/>
        <v>22.043146548379589</v>
      </c>
      <c r="G22" s="6">
        <f t="shared" si="6"/>
        <v>27.335288393967247</v>
      </c>
      <c r="H22" s="6">
        <f t="shared" si="6"/>
        <v>32.63584940895997</v>
      </c>
      <c r="I22" s="6">
        <f t="shared" si="6"/>
        <v>25.94243212665646</v>
      </c>
      <c r="J22" s="6">
        <f t="shared" si="6"/>
        <v>29.324827552741077</v>
      </c>
      <c r="K22" s="6">
        <f t="shared" si="6"/>
        <v>22.09039927776471</v>
      </c>
      <c r="L22" s="6" t="e">
        <f t="shared" ref="L22" si="7">IF(L21&gt;0,L23/L21,0)</f>
        <v>#REF!</v>
      </c>
      <c r="M22" s="6" t="e">
        <f>M33</f>
        <v>#REF!</v>
      </c>
      <c r="N22" s="6" t="e">
        <f>N33</f>
        <v>#REF!</v>
      </c>
    </row>
    <row r="23" spans="1:14" x14ac:dyDescent="0.3">
      <c r="A23" s="2" t="s">
        <v>49</v>
      </c>
      <c r="B23" s="1">
        <f>'Data Sheet'!B90</f>
        <v>511.95</v>
      </c>
      <c r="C23" s="1">
        <f>'Data Sheet'!C90</f>
        <v>592.95000000000005</v>
      </c>
      <c r="D23" s="1">
        <f>'Data Sheet'!D90</f>
        <v>545.45000000000005</v>
      </c>
      <c r="E23" s="1">
        <f>'Data Sheet'!E90</f>
        <v>528.9</v>
      </c>
      <c r="F23" s="1">
        <f>'Data Sheet'!F90</f>
        <v>422.85</v>
      </c>
      <c r="G23" s="1">
        <f>'Data Sheet'!G90</f>
        <v>815.1</v>
      </c>
      <c r="H23" s="1">
        <f>'Data Sheet'!H90</f>
        <v>1018.05</v>
      </c>
      <c r="I23" s="1">
        <f>'Data Sheet'!I90</f>
        <v>900.5</v>
      </c>
      <c r="J23" s="1">
        <f>'Data Sheet'!J90</f>
        <v>1496.95</v>
      </c>
      <c r="K23" s="1">
        <f>'Data Sheet'!K90</f>
        <v>1442.2</v>
      </c>
      <c r="L23" s="1">
        <f>'Data Sheet'!B8</f>
        <v>1584.4</v>
      </c>
      <c r="M23" s="8" t="e">
        <f>M21*M22</f>
        <v>#REF!</v>
      </c>
      <c r="N23" s="9" t="e">
        <f>N21*N22</f>
        <v>#REF!</v>
      </c>
    </row>
    <row r="24" spans="1:14" s="2" customFormat="1" x14ac:dyDescent="0.3">
      <c r="A24"/>
      <c r="B24"/>
      <c r="C24"/>
      <c r="D24"/>
      <c r="E24"/>
      <c r="F24"/>
      <c r="G24"/>
      <c r="H24"/>
      <c r="I24"/>
      <c r="J24"/>
      <c r="K24"/>
      <c r="L24"/>
      <c r="M24"/>
      <c r="N24"/>
    </row>
    <row r="25" spans="1:14" s="2" customFormat="1" x14ac:dyDescent="0.3">
      <c r="A25" s="2" t="s">
        <v>15</v>
      </c>
    </row>
    <row r="26" spans="1:14" x14ac:dyDescent="0.3">
      <c r="A26" t="s">
        <v>17</v>
      </c>
      <c r="B26" s="5">
        <f>IF('Data Sheet'!B30&gt;0, 'Data Sheet'!B31/'Data Sheet'!B30, 0)</f>
        <v>0.11814792755829087</v>
      </c>
      <c r="C26" s="5">
        <f>IF('Data Sheet'!C30&gt;0, 'Data Sheet'!C31/'Data Sheet'!C30, 0)</f>
        <v>0.15987837716988446</v>
      </c>
      <c r="D26" s="5">
        <f>IF('Data Sheet'!D30&gt;0, 'Data Sheet'!D31/'Data Sheet'!D30, 0)</f>
        <v>0.17123350797218068</v>
      </c>
      <c r="E26" s="5">
        <f>IF('Data Sheet'!E30&gt;0, 'Data Sheet'!E31/'Data Sheet'!E30, 0)</f>
        <v>0.15821823656477058</v>
      </c>
      <c r="F26" s="5">
        <f>IF('Data Sheet'!F30&gt;0, 'Data Sheet'!F31/'Data Sheet'!F30, 0)</f>
        <v>0.20853270568760832</v>
      </c>
      <c r="G26" s="5">
        <f>IF('Data Sheet'!G30&gt;0, 'Data Sheet'!G31/'Data Sheet'!G30, 0)</f>
        <v>0.16766810679995178</v>
      </c>
      <c r="H26" s="5">
        <f>IF('Data Sheet'!H30&gt;0, 'Data Sheet'!H31/'Data Sheet'!H30, 0)</f>
        <v>0.16028608324227675</v>
      </c>
      <c r="I26" s="5">
        <f>IF('Data Sheet'!I30&gt;0, 'Data Sheet'!I31/'Data Sheet'!I30, 0)</f>
        <v>0.24486154087747289</v>
      </c>
      <c r="J26" s="5">
        <f>IF('Data Sheet'!J30&gt;0, 'Data Sheet'!J31/'Data Sheet'!J30, 0)</f>
        <v>0.25465176935861505</v>
      </c>
      <c r="K26" s="5">
        <f>IF('Data Sheet'!K30&gt;0, 'Data Sheet'!K31/'Data Sheet'!K30, 0)</f>
        <v>0.24507446154779877</v>
      </c>
    </row>
    <row r="27" spans="1:14" x14ac:dyDescent="0.3">
      <c r="A27" t="s">
        <v>18</v>
      </c>
      <c r="B27" s="5">
        <f t="shared" ref="B27:L27" si="8">IF(B8&gt;0,B8/B4,0)</f>
        <v>0.17981522976628175</v>
      </c>
      <c r="C27" s="5">
        <f t="shared" si="8"/>
        <v>0.17342362839709366</v>
      </c>
      <c r="D27" s="5">
        <f t="shared" si="8"/>
        <v>0.18648944853127972</v>
      </c>
      <c r="E27" s="5">
        <f t="shared" si="8"/>
        <v>0.18929424210736678</v>
      </c>
      <c r="F27" s="5">
        <f t="shared" si="8"/>
        <v>0.18713471114564048</v>
      </c>
      <c r="G27" s="5">
        <f t="shared" si="8"/>
        <v>0.22194786005337266</v>
      </c>
      <c r="H27" s="5">
        <f t="shared" si="8"/>
        <v>0.20919491217800204</v>
      </c>
      <c r="I27" s="5">
        <f t="shared" si="8"/>
        <v>0.22093541457171578</v>
      </c>
      <c r="J27" s="5">
        <f t="shared" si="8"/>
        <v>0.24408427222842782</v>
      </c>
      <c r="K27" s="5">
        <f t="shared" si="8"/>
        <v>0.25874830566125123</v>
      </c>
      <c r="L27" s="5" t="e">
        <f t="shared" si="8"/>
        <v>#REF!</v>
      </c>
    </row>
    <row r="28" spans="1:14" x14ac:dyDescent="0.3">
      <c r="B28" s="5"/>
      <c r="C28" s="5"/>
      <c r="D28" s="5"/>
      <c r="E28" s="5"/>
      <c r="F28" s="5"/>
      <c r="G28" s="5"/>
      <c r="H28" s="5"/>
      <c r="I28" s="5"/>
      <c r="J28" s="5"/>
      <c r="K28" s="5"/>
      <c r="L28" s="5"/>
    </row>
    <row r="29" spans="1:14" x14ac:dyDescent="0.3">
      <c r="B29" s="5"/>
      <c r="C29" s="5"/>
      <c r="D29" s="5"/>
      <c r="E29" s="5"/>
      <c r="F29" s="5"/>
      <c r="G29" s="5"/>
      <c r="H29" s="5"/>
      <c r="I29" s="5"/>
      <c r="J29" s="5"/>
      <c r="K29" s="5"/>
      <c r="L29" s="5"/>
    </row>
    <row r="30" spans="1:14" x14ac:dyDescent="0.3">
      <c r="A30" s="11"/>
      <c r="B30" s="12"/>
      <c r="C30" s="12"/>
      <c r="D30" s="12"/>
      <c r="E30" s="12"/>
      <c r="F30" s="12"/>
      <c r="G30" s="12" t="s">
        <v>19</v>
      </c>
      <c r="H30" s="12" t="s">
        <v>56</v>
      </c>
      <c r="I30" s="12" t="s">
        <v>57</v>
      </c>
      <c r="J30" s="12" t="s">
        <v>58</v>
      </c>
      <c r="K30" s="12" t="s">
        <v>59</v>
      </c>
      <c r="L30" s="13" t="s">
        <v>60</v>
      </c>
      <c r="M30" s="13" t="s">
        <v>20</v>
      </c>
      <c r="N30" s="13" t="s">
        <v>21</v>
      </c>
    </row>
    <row r="31" spans="1:14" x14ac:dyDescent="0.3">
      <c r="G31" t="s">
        <v>22</v>
      </c>
      <c r="H31" s="5">
        <f>IF(B4=0,"",POWER($K4/B4,1/9)-1)</f>
        <v>7.9917902702127508E-2</v>
      </c>
      <c r="I31" s="5">
        <f>IF(D4=0,"",POWER($K4/D4,1/7)-1)</f>
        <v>8.9111998081611299E-2</v>
      </c>
      <c r="J31" s="5">
        <f>IF(F4=0,"",POWER($K4/F4,1/5)-1)</f>
        <v>9.9651964120640812E-2</v>
      </c>
      <c r="K31" s="5">
        <f>IF(H4=0,"",POWER($K4/H4, 1/3)-1)</f>
        <v>8.1731588864671467E-2</v>
      </c>
      <c r="L31" s="5" t="str">
        <f>IF(ISERROR(MAX(IF(J4=0,"",(K4-J4)/J4),IF(K4=0,"",(L4-K4)/K4))),"",MAX(IF(J4=0,"",(K4-J4)/J4),IF(K4=0,"",(L4-K4)/K4)))</f>
        <v/>
      </c>
      <c r="M31" s="16">
        <f>MAX(K31:L31)</f>
        <v>8.1731588864671467E-2</v>
      </c>
      <c r="N31" s="16">
        <f>MIN(H31:L31)</f>
        <v>7.9917902702127508E-2</v>
      </c>
    </row>
    <row r="32" spans="1:14" x14ac:dyDescent="0.3">
      <c r="G32" t="s">
        <v>18</v>
      </c>
      <c r="H32" s="5">
        <f>IF(SUM(B4:$K$4)=0,"",SUMPRODUCT(B27:$K$27,B4:$K$4)/SUM(B4:$K$4))</f>
        <v>0.21336381260787032</v>
      </c>
      <c r="I32" s="5">
        <f>IF(SUM(E4:$K$4)=0,"",SUMPRODUCT(E27:$K$27,E4:$K$4)/SUM(E4:$K$4))</f>
        <v>0.22296463815789469</v>
      </c>
      <c r="J32" s="5">
        <f>IF(SUM(G4:$K$4)=0,"",SUMPRODUCT(G27:$K$27,G4:$K$4)/SUM(G4:$K$4))</f>
        <v>0.23292010035063915</v>
      </c>
      <c r="K32" s="5">
        <f>IF(SUM(I4:$K$4)=0, "", SUMPRODUCT(I27:$K$27,I4:$K$4)/SUM(I4:$K$4))</f>
        <v>0.24247073572165714</v>
      </c>
      <c r="L32" s="5" t="e">
        <f>L27</f>
        <v>#REF!</v>
      </c>
      <c r="M32" s="16" t="e">
        <f>MAX(K32:L32)</f>
        <v>#REF!</v>
      </c>
      <c r="N32" s="16" t="e">
        <f>MIN(H32:L32)</f>
        <v>#REF!</v>
      </c>
    </row>
    <row r="33" spans="1:14" x14ac:dyDescent="0.3">
      <c r="G33" t="s">
        <v>23</v>
      </c>
      <c r="H33" s="6">
        <f>IF(ISERROR(AVERAGEIF(B22:$L22,"&gt;0")),"",AVERAGEIF(B22:$L22,"&gt;0"))</f>
        <v>29.604178168415508</v>
      </c>
      <c r="I33" s="6">
        <f>IF(ISERROR(AVERAGEIF(E22:$L22,"&gt;0")),"",AVERAGEIF(E22:$L22,"&gt;0"))</f>
        <v>26.7522597735483</v>
      </c>
      <c r="J33" s="6">
        <f>IF(ISERROR(AVERAGEIF(G22:$L22,"&gt;0")),"",AVERAGEIF(G22:$L22,"&gt;0"))</f>
        <v>27.465759352017891</v>
      </c>
      <c r="K33" s="6">
        <f>IF(ISERROR(AVERAGEIF(I22:$L22,"&gt;0")),"",AVERAGEIF(I22:$L22,"&gt;0"))</f>
        <v>25.785886319054082</v>
      </c>
      <c r="L33" s="6" t="e">
        <f>L22</f>
        <v>#REF!</v>
      </c>
      <c r="M33" s="1" t="e">
        <f>MAX(K33:L33)</f>
        <v>#REF!</v>
      </c>
      <c r="N33" s="1" t="e">
        <f>MIN(H33:L33)</f>
        <v>#REF!</v>
      </c>
    </row>
    <row r="35" spans="1:14" x14ac:dyDescent="0.3">
      <c r="A35" t="s">
        <v>81</v>
      </c>
      <c r="B35" s="20">
        <f t="shared" ref="B35:K35" si="9">B12/B4</f>
        <v>5.4692859370127848E-2</v>
      </c>
      <c r="C35" s="20">
        <f t="shared" si="9"/>
        <v>9.1906582401771811E-2</v>
      </c>
      <c r="D35" s="20">
        <f t="shared" si="9"/>
        <v>8.7281955117906054E-2</v>
      </c>
      <c r="E35" s="20">
        <f t="shared" si="9"/>
        <v>8.105835265098478E-2</v>
      </c>
      <c r="F35" s="20">
        <f t="shared" si="9"/>
        <v>6.8564714315149614E-2</v>
      </c>
      <c r="G35" s="20">
        <f t="shared" si="9"/>
        <v>5.5724574482021803E-2</v>
      </c>
      <c r="H35" s="20">
        <f t="shared" si="9"/>
        <v>4.8335871240351894E-2</v>
      </c>
      <c r="I35" s="20">
        <f t="shared" si="9"/>
        <v>5.1514253869359455E-2</v>
      </c>
      <c r="J35" s="20">
        <f t="shared" si="9"/>
        <v>4.0778161324027347E-2</v>
      </c>
      <c r="K35" s="20">
        <f t="shared" si="9"/>
        <v>4.0183144678197245E-2</v>
      </c>
    </row>
    <row r="36" spans="1:14" x14ac:dyDescent="0.3">
      <c r="A36" t="s">
        <v>82</v>
      </c>
      <c r="B36" s="5">
        <f>AVERAGE(B35:K35)</f>
        <v>6.2004046944989774E-2</v>
      </c>
    </row>
  </sheetData>
  <hyperlinks>
    <hyperlink ref="M1" r:id="rId1" xr:uid="{00000000-0004-0000-0000-000000000000}"/>
  </hyperlinks>
  <printOptions gridLines="1"/>
  <pageMargins left="0.7" right="0.7" top="0.75" bottom="0.75" header="0.3" footer="0.3"/>
  <pageSetup paperSize="9" orientation="landscape" horizontalDpi="300" verticalDpi="300"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K24"/>
  <sheetViews>
    <sheetView zoomScale="125" workbookViewId="0">
      <pane xSplit="1" ySplit="3" topLeftCell="E7" activePane="bottomRight" state="frozen"/>
      <selection activeCell="C4" sqref="C4"/>
      <selection pane="topRight" activeCell="C4" sqref="C4"/>
      <selection pane="bottomLeft" activeCell="C4" sqref="C4"/>
      <selection pane="bottomRight" activeCell="K6" sqref="K6"/>
    </sheetView>
  </sheetViews>
  <sheetFormatPr defaultColWidth="8.77734375" defaultRowHeight="14.4" x14ac:dyDescent="0.3"/>
  <cols>
    <col min="1" max="1" width="22.77734375" bestFit="1" customWidth="1"/>
    <col min="2" max="2" width="13.44140625" customWidth="1"/>
    <col min="3" max="11" width="15.44140625" customWidth="1"/>
  </cols>
  <sheetData>
    <row r="1" spans="1:11" s="2" customFormat="1" x14ac:dyDescent="0.3">
      <c r="A1" s="2" t="str">
        <f>'Profit &amp; Loss'!A1</f>
        <v>CIPLA LTD</v>
      </c>
      <c r="E1" t="str">
        <f>UPDATE</f>
        <v/>
      </c>
      <c r="G1"/>
      <c r="J1" s="2" t="s">
        <v>1</v>
      </c>
    </row>
    <row r="2" spans="1:11" x14ac:dyDescent="0.3">
      <c r="G2" s="2"/>
      <c r="H2" s="2"/>
    </row>
    <row r="3" spans="1:11" x14ac:dyDescent="0.3">
      <c r="A3" s="11" t="s">
        <v>2</v>
      </c>
      <c r="B3" s="12">
        <f>'Data Sheet'!B56</f>
        <v>42460</v>
      </c>
      <c r="C3" s="12">
        <f>'Data Sheet'!C56</f>
        <v>42825</v>
      </c>
      <c r="D3" s="12">
        <f>'Data Sheet'!D56</f>
        <v>43190</v>
      </c>
      <c r="E3" s="12">
        <f>'Data Sheet'!E56</f>
        <v>43555</v>
      </c>
      <c r="F3" s="12">
        <f>'Data Sheet'!F56</f>
        <v>43921</v>
      </c>
      <c r="G3" s="12">
        <f>'Data Sheet'!G56</f>
        <v>44286</v>
      </c>
      <c r="H3" s="12">
        <f>'Data Sheet'!H56</f>
        <v>44651</v>
      </c>
      <c r="I3" s="12">
        <f>'Data Sheet'!I56</f>
        <v>45016</v>
      </c>
      <c r="J3" s="12">
        <f>'Data Sheet'!J56</f>
        <v>45382</v>
      </c>
      <c r="K3" s="12">
        <f>'Data Sheet'!K56</f>
        <v>45747</v>
      </c>
    </row>
    <row r="4" spans="1:11" x14ac:dyDescent="0.3">
      <c r="A4" t="s">
        <v>24</v>
      </c>
      <c r="B4" s="14">
        <f>'Data Sheet'!B57</f>
        <v>160.68</v>
      </c>
      <c r="C4" s="14">
        <f>'Data Sheet'!C57</f>
        <v>160.9</v>
      </c>
      <c r="D4" s="14">
        <f>'Data Sheet'!D57</f>
        <v>161.02000000000001</v>
      </c>
      <c r="E4" s="14">
        <f>'Data Sheet'!E57</f>
        <v>161.13999999999999</v>
      </c>
      <c r="F4" s="14">
        <f>'Data Sheet'!F57</f>
        <v>161.25</v>
      </c>
      <c r="G4" s="14">
        <f>'Data Sheet'!G57</f>
        <v>161.29</v>
      </c>
      <c r="H4" s="14">
        <f>'Data Sheet'!H57</f>
        <v>161.36000000000001</v>
      </c>
      <c r="I4" s="14">
        <f>'Data Sheet'!I57</f>
        <v>161.43</v>
      </c>
      <c r="J4" s="14">
        <f>'Data Sheet'!J57</f>
        <v>161.47</v>
      </c>
      <c r="K4" s="14">
        <f>'Data Sheet'!K57</f>
        <v>161.52000000000001</v>
      </c>
    </row>
    <row r="5" spans="1:11" x14ac:dyDescent="0.3">
      <c r="A5" t="s">
        <v>25</v>
      </c>
      <c r="B5" s="14">
        <f>'Data Sheet'!B58</f>
        <v>11355.54</v>
      </c>
      <c r="C5" s="14">
        <f>'Data Sheet'!C58</f>
        <v>12382.76</v>
      </c>
      <c r="D5" s="14">
        <f>'Data Sheet'!D58</f>
        <v>14068.17</v>
      </c>
      <c r="E5" s="14">
        <f>'Data Sheet'!E58</f>
        <v>14851.14</v>
      </c>
      <c r="F5" s="14">
        <f>'Data Sheet'!F58</f>
        <v>15601.75</v>
      </c>
      <c r="G5" s="14">
        <f>'Data Sheet'!G58</f>
        <v>18165.240000000002</v>
      </c>
      <c r="H5" s="14">
        <f>'Data Sheet'!H58</f>
        <v>20680.330000000002</v>
      </c>
      <c r="I5" s="14">
        <f>'Data Sheet'!I58</f>
        <v>23246.35</v>
      </c>
      <c r="J5" s="14">
        <f>'Data Sheet'!J58</f>
        <v>26544.959999999999</v>
      </c>
      <c r="K5" s="14">
        <f>'Data Sheet'!K58</f>
        <v>31031.93</v>
      </c>
    </row>
    <row r="6" spans="1:11" x14ac:dyDescent="0.3">
      <c r="A6" t="s">
        <v>62</v>
      </c>
      <c r="B6" s="14">
        <f>'Data Sheet'!B59</f>
        <v>5201.92</v>
      </c>
      <c r="C6" s="14">
        <f>'Data Sheet'!C59</f>
        <v>4112.66</v>
      </c>
      <c r="D6" s="14">
        <f>'Data Sheet'!D59</f>
        <v>4098.05</v>
      </c>
      <c r="E6" s="14">
        <f>'Data Sheet'!E59</f>
        <v>4316.2299999999996</v>
      </c>
      <c r="F6" s="14">
        <f>'Data Sheet'!F59</f>
        <v>2816.43</v>
      </c>
      <c r="G6" s="14">
        <f>'Data Sheet'!G59</f>
        <v>2014.41</v>
      </c>
      <c r="H6" s="14">
        <f>'Data Sheet'!H59</f>
        <v>1055.78</v>
      </c>
      <c r="I6" s="14">
        <f>'Data Sheet'!I59</f>
        <v>803.12</v>
      </c>
      <c r="J6" s="14">
        <f>'Data Sheet'!J59</f>
        <v>559.41</v>
      </c>
      <c r="K6" s="14">
        <f>'Data Sheet'!K59</f>
        <v>438.19</v>
      </c>
    </row>
    <row r="7" spans="1:11" x14ac:dyDescent="0.3">
      <c r="A7" t="s">
        <v>63</v>
      </c>
      <c r="B7" s="14">
        <f>'Data Sheet'!B60</f>
        <v>4331.3500000000004</v>
      </c>
      <c r="C7" s="14">
        <f>'Data Sheet'!C60</f>
        <v>4212.62</v>
      </c>
      <c r="D7" s="14">
        <f>'Data Sheet'!D60</f>
        <v>4345.66</v>
      </c>
      <c r="E7" s="14">
        <f>'Data Sheet'!E60</f>
        <v>4433.3999999999996</v>
      </c>
      <c r="F7" s="14">
        <f>'Data Sheet'!F60</f>
        <v>4843.3599999999997</v>
      </c>
      <c r="G7" s="14">
        <f>'Data Sheet'!G60</f>
        <v>4514.34</v>
      </c>
      <c r="H7" s="14">
        <f>'Data Sheet'!H60</f>
        <v>4959.6899999999996</v>
      </c>
      <c r="I7" s="14">
        <f>'Data Sheet'!I60</f>
        <v>5089.1000000000004</v>
      </c>
      <c r="J7" s="14">
        <f>'Data Sheet'!J60</f>
        <v>5266.69</v>
      </c>
      <c r="K7" s="14">
        <f>'Data Sheet'!K60</f>
        <v>5701.87</v>
      </c>
    </row>
    <row r="8" spans="1:11" s="2" customFormat="1" x14ac:dyDescent="0.3">
      <c r="A8" s="2" t="s">
        <v>26</v>
      </c>
      <c r="B8" s="15">
        <f>'Data Sheet'!B61</f>
        <v>21049.49</v>
      </c>
      <c r="C8" s="15">
        <f>'Data Sheet'!C61</f>
        <v>20868.939999999999</v>
      </c>
      <c r="D8" s="15">
        <f>'Data Sheet'!D61</f>
        <v>22672.9</v>
      </c>
      <c r="E8" s="15">
        <f>'Data Sheet'!E61</f>
        <v>23761.91</v>
      </c>
      <c r="F8" s="15">
        <f>'Data Sheet'!F61</f>
        <v>23422.79</v>
      </c>
      <c r="G8" s="15">
        <f>'Data Sheet'!G61</f>
        <v>24855.279999999999</v>
      </c>
      <c r="H8" s="15">
        <f>'Data Sheet'!H61</f>
        <v>26857.16</v>
      </c>
      <c r="I8" s="15">
        <f>'Data Sheet'!I61</f>
        <v>29300</v>
      </c>
      <c r="J8" s="15">
        <f>'Data Sheet'!J61</f>
        <v>32532.53</v>
      </c>
      <c r="K8" s="15">
        <f>'Data Sheet'!K61</f>
        <v>37333.51</v>
      </c>
    </row>
    <row r="9" spans="1:11" s="2" customFormat="1" x14ac:dyDescent="0.3">
      <c r="B9" s="15"/>
      <c r="C9" s="15"/>
      <c r="D9" s="15"/>
      <c r="E9" s="15"/>
      <c r="F9" s="15"/>
      <c r="G9" s="15"/>
      <c r="H9" s="15"/>
      <c r="I9" s="15"/>
      <c r="J9" s="15"/>
      <c r="K9" s="15"/>
    </row>
    <row r="10" spans="1:11" x14ac:dyDescent="0.3">
      <c r="A10" t="s">
        <v>27</v>
      </c>
      <c r="B10" s="14">
        <f>'Data Sheet'!B62</f>
        <v>9368.32</v>
      </c>
      <c r="C10" s="14">
        <f>'Data Sheet'!C62</f>
        <v>9491.98</v>
      </c>
      <c r="D10" s="14">
        <f>'Data Sheet'!D62</f>
        <v>9950.17</v>
      </c>
      <c r="E10" s="14">
        <f>'Data Sheet'!E62</f>
        <v>9608.36</v>
      </c>
      <c r="F10" s="14">
        <f>'Data Sheet'!F62</f>
        <v>9682.89</v>
      </c>
      <c r="G10" s="14">
        <f>'Data Sheet'!G62</f>
        <v>9515.52</v>
      </c>
      <c r="H10" s="14">
        <f>'Data Sheet'!H62</f>
        <v>9683.33</v>
      </c>
      <c r="I10" s="14">
        <f>'Data Sheet'!I62</f>
        <v>9160.48</v>
      </c>
      <c r="J10" s="14">
        <f>'Data Sheet'!J62</f>
        <v>9607.2199999999993</v>
      </c>
      <c r="K10" s="14">
        <f>'Data Sheet'!K62</f>
        <v>10006.39</v>
      </c>
    </row>
    <row r="11" spans="1:11" x14ac:dyDescent="0.3">
      <c r="A11" t="s">
        <v>28</v>
      </c>
      <c r="B11" s="14">
        <f>'Data Sheet'!B63</f>
        <v>2060.87</v>
      </c>
      <c r="C11" s="14">
        <f>'Data Sheet'!C63</f>
        <v>1682.98</v>
      </c>
      <c r="D11" s="14">
        <f>'Data Sheet'!D63</f>
        <v>981.33</v>
      </c>
      <c r="E11" s="14">
        <f>'Data Sheet'!E63</f>
        <v>676.18</v>
      </c>
      <c r="F11" s="14">
        <f>'Data Sheet'!F63</f>
        <v>824.53</v>
      </c>
      <c r="G11" s="14">
        <f>'Data Sheet'!G63</f>
        <v>968.89</v>
      </c>
      <c r="H11" s="14">
        <f>'Data Sheet'!H63</f>
        <v>766.18</v>
      </c>
      <c r="I11" s="14">
        <f>'Data Sheet'!I63</f>
        <v>1093.3</v>
      </c>
      <c r="J11" s="14">
        <f>'Data Sheet'!J63</f>
        <v>1152.72</v>
      </c>
      <c r="K11" s="14">
        <f>'Data Sheet'!K63</f>
        <v>1566.27</v>
      </c>
    </row>
    <row r="12" spans="1:11" x14ac:dyDescent="0.3">
      <c r="A12" t="s">
        <v>29</v>
      </c>
      <c r="B12" s="14">
        <f>'Data Sheet'!B64</f>
        <v>758.69</v>
      </c>
      <c r="C12" s="14">
        <f>'Data Sheet'!C64</f>
        <v>973.01</v>
      </c>
      <c r="D12" s="14">
        <f>'Data Sheet'!D64</f>
        <v>1258.8399999999999</v>
      </c>
      <c r="E12" s="14">
        <f>'Data Sheet'!E64</f>
        <v>2554.14</v>
      </c>
      <c r="F12" s="14">
        <f>'Data Sheet'!F64</f>
        <v>1471.02</v>
      </c>
      <c r="G12" s="14">
        <f>'Data Sheet'!G64</f>
        <v>2710.05</v>
      </c>
      <c r="H12" s="14">
        <f>'Data Sheet'!H64</f>
        <v>2550.6</v>
      </c>
      <c r="I12" s="14">
        <f>'Data Sheet'!I64</f>
        <v>3662.38</v>
      </c>
      <c r="J12" s="14">
        <f>'Data Sheet'!J64</f>
        <v>5449.22</v>
      </c>
      <c r="K12" s="14">
        <f>'Data Sheet'!K64</f>
        <v>7932.77</v>
      </c>
    </row>
    <row r="13" spans="1:11" x14ac:dyDescent="0.3">
      <c r="A13" t="s">
        <v>64</v>
      </c>
      <c r="B13" s="14">
        <f>'Data Sheet'!B65</f>
        <v>8861.61</v>
      </c>
      <c r="C13" s="14">
        <f>'Data Sheet'!C65</f>
        <v>8720.9699999999993</v>
      </c>
      <c r="D13" s="14">
        <f>'Data Sheet'!D65</f>
        <v>10482.56</v>
      </c>
      <c r="E13" s="14">
        <f>'Data Sheet'!E65</f>
        <v>10923.23</v>
      </c>
      <c r="F13" s="14">
        <f>'Data Sheet'!F65</f>
        <v>11444.35</v>
      </c>
      <c r="G13" s="14">
        <f>'Data Sheet'!G65</f>
        <v>11660.82</v>
      </c>
      <c r="H13" s="14">
        <f>'Data Sheet'!H65</f>
        <v>13857.05</v>
      </c>
      <c r="I13" s="14">
        <f>'Data Sheet'!I65</f>
        <v>15383.84</v>
      </c>
      <c r="J13" s="14">
        <f>'Data Sheet'!J65</f>
        <v>16323.37</v>
      </c>
      <c r="K13" s="14">
        <f>'Data Sheet'!K65</f>
        <v>17828.080000000002</v>
      </c>
    </row>
    <row r="14" spans="1:11" s="2" customFormat="1" x14ac:dyDescent="0.3">
      <c r="A14" s="2" t="s">
        <v>26</v>
      </c>
      <c r="B14" s="14">
        <f>'Data Sheet'!B66</f>
        <v>21049.49</v>
      </c>
      <c r="C14" s="14">
        <f>'Data Sheet'!C66</f>
        <v>20868.939999999999</v>
      </c>
      <c r="D14" s="14">
        <f>'Data Sheet'!D66</f>
        <v>22672.9</v>
      </c>
      <c r="E14" s="14">
        <f>'Data Sheet'!E66</f>
        <v>23761.91</v>
      </c>
      <c r="F14" s="14">
        <f>'Data Sheet'!F66</f>
        <v>23422.79</v>
      </c>
      <c r="G14" s="14">
        <f>'Data Sheet'!G66</f>
        <v>24855.279999999999</v>
      </c>
      <c r="H14" s="14">
        <f>'Data Sheet'!H66</f>
        <v>26857.16</v>
      </c>
      <c r="I14" s="14">
        <f>'Data Sheet'!I66</f>
        <v>29300</v>
      </c>
      <c r="J14" s="14">
        <f>'Data Sheet'!J66</f>
        <v>32532.53</v>
      </c>
      <c r="K14" s="14">
        <f>'Data Sheet'!K66</f>
        <v>37333.51</v>
      </c>
    </row>
    <row r="15" spans="1:11" x14ac:dyDescent="0.3">
      <c r="B15" s="4"/>
      <c r="C15" s="4"/>
      <c r="D15" s="4"/>
      <c r="E15" s="4"/>
      <c r="F15" s="4"/>
      <c r="G15" s="4"/>
      <c r="H15" s="4"/>
      <c r="I15" s="4"/>
      <c r="J15" s="4"/>
      <c r="K15" s="4"/>
    </row>
    <row r="16" spans="1:11" x14ac:dyDescent="0.3">
      <c r="A16" t="s">
        <v>30</v>
      </c>
      <c r="B16" s="4">
        <f>B13-B7</f>
        <v>4530.26</v>
      </c>
      <c r="C16" s="4">
        <f t="shared" ref="C16:K16" si="0">C13-C7</f>
        <v>4508.3499999999995</v>
      </c>
      <c r="D16" s="4">
        <f t="shared" si="0"/>
        <v>6136.9</v>
      </c>
      <c r="E16" s="4">
        <f t="shared" si="0"/>
        <v>6489.83</v>
      </c>
      <c r="F16" s="4">
        <f t="shared" si="0"/>
        <v>6600.9900000000007</v>
      </c>
      <c r="G16" s="4">
        <f t="shared" si="0"/>
        <v>7146.48</v>
      </c>
      <c r="H16" s="4">
        <f t="shared" si="0"/>
        <v>8897.36</v>
      </c>
      <c r="I16" s="4">
        <f t="shared" si="0"/>
        <v>10294.74</v>
      </c>
      <c r="J16" s="4">
        <f t="shared" si="0"/>
        <v>11056.68</v>
      </c>
      <c r="K16" s="4">
        <f t="shared" si="0"/>
        <v>12126.210000000003</v>
      </c>
    </row>
    <row r="17" spans="1:11" x14ac:dyDescent="0.3">
      <c r="A17" t="s">
        <v>44</v>
      </c>
      <c r="B17" s="4">
        <f>'Data Sheet'!B67</f>
        <v>2356.27</v>
      </c>
      <c r="C17" s="4">
        <f>'Data Sheet'!C67</f>
        <v>2563.0500000000002</v>
      </c>
      <c r="D17" s="4">
        <f>'Data Sheet'!D67</f>
        <v>3102.45</v>
      </c>
      <c r="E17" s="4">
        <f>'Data Sheet'!E67</f>
        <v>4150.72</v>
      </c>
      <c r="F17" s="4">
        <f>'Data Sheet'!F67</f>
        <v>3891.31</v>
      </c>
      <c r="G17" s="4">
        <f>'Data Sheet'!G67</f>
        <v>3445.68</v>
      </c>
      <c r="H17" s="4">
        <f>'Data Sheet'!H67</f>
        <v>3424.44</v>
      </c>
      <c r="I17" s="4">
        <f>'Data Sheet'!I67</f>
        <v>4057</v>
      </c>
      <c r="J17" s="4">
        <f>'Data Sheet'!J67</f>
        <v>4770.66</v>
      </c>
      <c r="K17" s="4">
        <f>'Data Sheet'!K67</f>
        <v>5506.37</v>
      </c>
    </row>
    <row r="18" spans="1:11" x14ac:dyDescent="0.3">
      <c r="A18" t="s">
        <v>45</v>
      </c>
      <c r="B18" s="4">
        <f>'Data Sheet'!B68</f>
        <v>3808.05</v>
      </c>
      <c r="C18" s="4">
        <f>'Data Sheet'!C68</f>
        <v>3485.28</v>
      </c>
      <c r="D18" s="4">
        <f>'Data Sheet'!D68</f>
        <v>4044.7</v>
      </c>
      <c r="E18" s="4">
        <f>'Data Sheet'!E68</f>
        <v>3964.83</v>
      </c>
      <c r="F18" s="4">
        <f>'Data Sheet'!F68</f>
        <v>4377.6000000000004</v>
      </c>
      <c r="G18" s="4">
        <f>'Data Sheet'!G68</f>
        <v>4669.18</v>
      </c>
      <c r="H18" s="4">
        <f>'Data Sheet'!H68</f>
        <v>5350.24</v>
      </c>
      <c r="I18" s="4">
        <f>'Data Sheet'!I68</f>
        <v>5156.43</v>
      </c>
      <c r="J18" s="4">
        <f>'Data Sheet'!J68</f>
        <v>5237.95</v>
      </c>
      <c r="K18" s="4">
        <f>'Data Sheet'!K68</f>
        <v>5642.11</v>
      </c>
    </row>
    <row r="20" spans="1:11" x14ac:dyDescent="0.3">
      <c r="A20" t="s">
        <v>46</v>
      </c>
      <c r="B20" s="4">
        <f>IF('Profit &amp; Loss'!B4&gt;0,'Balance Sheet'!B17/('Profit &amp; Loss'!B4/365),0)</f>
        <v>62.366375153189608</v>
      </c>
      <c r="C20" s="4">
        <f>IF('Profit &amp; Loss'!C4&gt;0,'Balance Sheet'!C17/('Profit &amp; Loss'!C4/365),0)</f>
        <v>64.991969037722598</v>
      </c>
      <c r="D20" s="4">
        <f>IF('Profit &amp; Loss'!D4&gt;0,'Balance Sheet'!D17/('Profit &amp; Loss'!D4/365),0)</f>
        <v>74.717334258837099</v>
      </c>
      <c r="E20" s="4">
        <f>IF('Profit &amp; Loss'!E4&gt;0,'Balance Sheet'!E17/('Profit &amp; Loss'!E4/365),0)</f>
        <v>92.591054740713631</v>
      </c>
      <c r="F20" s="4">
        <f>IF('Profit &amp; Loss'!F4&gt;0,'Balance Sheet'!F17/('Profit &amp; Loss'!F4/365),0)</f>
        <v>82.905030297122508</v>
      </c>
      <c r="G20" s="4">
        <f>IF('Profit &amp; Loss'!G4&gt;0,'Balance Sheet'!G17/('Profit &amp; Loss'!G4/365),0)</f>
        <v>65.64196833022001</v>
      </c>
      <c r="H20" s="4">
        <f>IF('Profit &amp; Loss'!H4&gt;0,'Balance Sheet'!H17/('Profit &amp; Loss'!H4/365),0)</f>
        <v>57.432388594765321</v>
      </c>
      <c r="I20" s="4">
        <f>IF('Profit &amp; Loss'!I4&gt;0,'Balance Sheet'!I17/('Profit &amp; Loss'!I4/365),0)</f>
        <v>65.081404220607993</v>
      </c>
      <c r="J20" s="4">
        <f>IF('Profit &amp; Loss'!J4&gt;0,'Balance Sheet'!J17/('Profit &amp; Loss'!J4/365),0)</f>
        <v>67.559743137391081</v>
      </c>
      <c r="K20" s="4">
        <f>IF('Profit &amp; Loss'!K4&gt;0,'Balance Sheet'!K17/('Profit &amp; Loss'!K4/365),0)</f>
        <v>72.958210182948662</v>
      </c>
    </row>
    <row r="21" spans="1:11" x14ac:dyDescent="0.3">
      <c r="A21" t="s">
        <v>47</v>
      </c>
      <c r="B21" s="4">
        <f>IF('Balance Sheet'!B18&gt;0,'Profit &amp; Loss'!B4/'Balance Sheet'!B18,0)</f>
        <v>3.6213022413046048</v>
      </c>
      <c r="C21" s="4">
        <f>IF('Balance Sheet'!C18&gt;0,'Profit &amp; Loss'!C4/'Balance Sheet'!C18,0)</f>
        <v>4.1300239865950514</v>
      </c>
      <c r="D21" s="4">
        <f>IF('Balance Sheet'!D18&gt;0,'Profit &amp; Loss'!D4/'Balance Sheet'!D18,0)</f>
        <v>3.7470541696541151</v>
      </c>
      <c r="E21" s="4">
        <f>IF('Balance Sheet'!E18&gt;0,'Profit &amp; Loss'!E4/'Balance Sheet'!E18,0)</f>
        <v>4.1268881641835842</v>
      </c>
      <c r="F21" s="4">
        <f>IF('Balance Sheet'!F18&gt;0,'Profit &amp; Loss'!F4/'Balance Sheet'!F18,0)</f>
        <v>3.9135576571637429</v>
      </c>
      <c r="G21" s="4">
        <f>IF('Balance Sheet'!G18&gt;0,'Profit &amp; Loss'!G4/'Balance Sheet'!G18,0)</f>
        <v>4.1034164457142364</v>
      </c>
      <c r="H21" s="4">
        <f>IF('Balance Sheet'!H18&gt;0,'Profit &amp; Loss'!H4/'Balance Sheet'!H18,0)</f>
        <v>4.0677315410149824</v>
      </c>
      <c r="I21" s="4">
        <f>IF('Balance Sheet'!I18&gt;0,'Profit &amp; Loss'!I4/'Balance Sheet'!I18,0)</f>
        <v>4.4125722641439911</v>
      </c>
      <c r="J21" s="4">
        <f>IF('Balance Sheet'!J18&gt;0,'Profit &amp; Loss'!J4/'Balance Sheet'!J18,0)</f>
        <v>4.9206445269618841</v>
      </c>
      <c r="K21" s="4">
        <f>IF('Balance Sheet'!K18&gt;0,'Profit &amp; Loss'!K4/'Balance Sheet'!K18,0)</f>
        <v>4.8825031770029295</v>
      </c>
    </row>
    <row r="23" spans="1:11" s="2" customFormat="1" x14ac:dyDescent="0.3">
      <c r="A23" s="2" t="s">
        <v>50</v>
      </c>
      <c r="B23" s="10">
        <f>IF(SUM('Balance Sheet'!B4:B5)&gt;0,'Profit &amp; Loss'!B20/SUM('Balance Sheet'!B4:B5),"")</f>
        <v>0.11809343690898574</v>
      </c>
      <c r="C23" s="10">
        <f>IF(SUM('Balance Sheet'!C4:C5)&gt;0,'Profit &amp; Loss'!C20/SUM('Balance Sheet'!C4:C5),"")</f>
        <v>8.0230969270531888E-2</v>
      </c>
      <c r="D23" s="10">
        <f>IF(SUM('Balance Sheet'!D4:D5)&gt;0,'Profit &amp; Loss'!D20/SUM('Balance Sheet'!D4:D5),"")</f>
        <v>9.9129325000228405E-2</v>
      </c>
      <c r="E23" s="10">
        <f>IF(SUM('Balance Sheet'!E4:E5)&gt;0,'Profit &amp; Loss'!E20/SUM('Balance Sheet'!E4:E5),"")</f>
        <v>0.10176335639889478</v>
      </c>
      <c r="F23" s="10">
        <f>IF(SUM('Balance Sheet'!F4:F5)&gt;0,'Profit &amp; Loss'!F20/SUM('Balance Sheet'!F4:F5),"")</f>
        <v>9.8110765717185813E-2</v>
      </c>
      <c r="G23" s="10">
        <f>IF(SUM('Balance Sheet'!G4:G5)&gt;0,'Profit &amp; Loss'!G20/SUM('Balance Sheet'!G4:G5),"")</f>
        <v>0.1312234230920965</v>
      </c>
      <c r="H23" s="10">
        <f>IF(SUM('Balance Sheet'!H4:H5)&gt;0,'Profit &amp; Loss'!H20/SUM('Balance Sheet'!H4:H5),"")</f>
        <v>0.12075556252875845</v>
      </c>
      <c r="I23" s="10">
        <f>IF(SUM('Balance Sheet'!I4:I5)&gt;0,'Profit &amp; Loss'!I20/SUM('Balance Sheet'!I4:I5),"")</f>
        <v>0.11969994591541787</v>
      </c>
      <c r="J23" s="10">
        <f>IF(SUM('Balance Sheet'!J4:J5)&gt;0,'Profit &amp; Loss'!J20/SUM('Balance Sheet'!J4:J5),"")</f>
        <v>0.15432800265703803</v>
      </c>
      <c r="K23" s="10">
        <f>IF(SUM('Balance Sheet'!K4:K5)&gt;0,'Profit &amp; Loss'!K20/SUM('Balance Sheet'!K4:K5),"")</f>
        <v>0.16902651037317129</v>
      </c>
    </row>
    <row r="24" spans="1:11" s="2" customFormat="1" x14ac:dyDescent="0.3">
      <c r="A24" s="2" t="s">
        <v>51</v>
      </c>
      <c r="B24" s="10"/>
      <c r="C24" s="10">
        <f>IF((B4+B5+B6+C4+C5+C6)&gt;0,('Profit &amp; Loss'!C18+'Profit &amp; Loss'!C17)*2/(B4+B5+B6+C4+C5+C6),"")</f>
        <v>8.2790852646005358E-2</v>
      </c>
      <c r="D24" s="10">
        <f>IF((C4+C5+C6+D4+D5+D6)&gt;0,('Profit &amp; Loss'!D18+'Profit &amp; Loss'!D17)*2/(C4+C5+C6+D4+D5+D6),"")</f>
        <v>0.10197304105128237</v>
      </c>
      <c r="E24" s="10">
        <f>IF((D4+D5+D6+E4+E5+E6)&gt;0,('Profit &amp; Loss'!E18+'Profit &amp; Loss'!E17)*2/(D4+D5+D6+E4+E5+E6),"")</f>
        <v>0.1193745975050291</v>
      </c>
      <c r="F24" s="10">
        <f>IF((E4+E5+E6+F4+F5+F6)&gt;0,('Profit &amp; Loss'!F18+'Profit &amp; Loss'!F17)*2/(E4+E5+E6+F4+F5+F6),"")</f>
        <v>0.12533205444558582</v>
      </c>
      <c r="G24" s="10">
        <f>IF((F4+F5+F6+G4+G5+G6)&gt;0,('Profit &amp; Loss'!G18+'Profit &amp; Loss'!G17)*2/(F4+F5+F6+G4+G5+G6),"")</f>
        <v>0.17732411074200985</v>
      </c>
      <c r="H24" s="10">
        <f>IF((G4+G5+G6+H4+H5+H6)&gt;0,('Profit &amp; Loss'!H18+'Profit &amp; Loss'!H17)*2/(G4+G5+G6+H4+H5+H6),"")</f>
        <v>0.17044296885228397</v>
      </c>
      <c r="I24" s="10">
        <f>IF((H4+H5+H6+I4+I5+I6)&gt;0,('Profit &amp; Loss'!I18+'Profit &amp; Loss'!I17)*2/(H4+H5+H6+I4+I5+I6),"")</f>
        <v>0.17991917736410981</v>
      </c>
      <c r="J24" s="10">
        <f>IF((I4+I5+I6+J4+J5+J6)&gt;0,('Profit &amp; Loss'!J18+'Profit &amp; Loss'!J17)*2/(I4+I5+I6+J4+J5+J6),"")</f>
        <v>0.22502512785386172</v>
      </c>
      <c r="K24" s="10">
        <f>IF((J4+J5+J6+K4+K5+K6)&gt;0,('Profit &amp; Loss'!K18+'Profit &amp; Loss'!K17)*2/(J4+J5+J6+K4+K5+K6),"")</f>
        <v>0.23372205398261522</v>
      </c>
    </row>
  </sheetData>
  <hyperlinks>
    <hyperlink ref="J1" r:id="rId1" xr:uid="{00000000-0004-0000-0200-000000000000}"/>
  </hyperlinks>
  <printOptions gridLines="1"/>
  <pageMargins left="0.7" right="0.7" top="0.75" bottom="0.75" header="0.3" footer="0.3"/>
  <pageSetup paperSize="9" orientation="landscape" horizontalDpi="0" verticalDpi="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K8"/>
  <sheetViews>
    <sheetView zoomScale="150" zoomScaleNormal="150" zoomScalePageLayoutView="150" workbookViewId="0">
      <pane xSplit="1" ySplit="3" topLeftCell="E4" activePane="bottomRight" state="frozen"/>
      <selection pane="topRight" activeCell="B1" sqref="B1"/>
      <selection pane="bottomLeft" activeCell="A4" sqref="A4"/>
      <selection pane="bottomRight" activeCell="K5" sqref="K5"/>
    </sheetView>
  </sheetViews>
  <sheetFormatPr defaultColWidth="8.77734375" defaultRowHeight="14.4" x14ac:dyDescent="0.3"/>
  <cols>
    <col min="1" max="1" width="26.77734375" bestFit="1" customWidth="1"/>
    <col min="2" max="6" width="13.44140625" customWidth="1"/>
    <col min="7" max="11" width="13.44140625" bestFit="1" customWidth="1"/>
  </cols>
  <sheetData>
    <row r="1" spans="1:11" s="2" customFormat="1" x14ac:dyDescent="0.3">
      <c r="A1" s="2" t="str">
        <f>'Balance Sheet'!A1</f>
        <v>CIPLA LTD</v>
      </c>
      <c r="E1" t="str">
        <f>UPDATE</f>
        <v/>
      </c>
      <c r="F1"/>
      <c r="J1" s="2" t="s">
        <v>1</v>
      </c>
    </row>
    <row r="3" spans="1:11" s="2" customFormat="1" x14ac:dyDescent="0.3">
      <c r="A3" s="11" t="s">
        <v>2</v>
      </c>
      <c r="B3" s="12">
        <f>'Data Sheet'!B81</f>
        <v>42460</v>
      </c>
      <c r="C3" s="12">
        <f>'Data Sheet'!C81</f>
        <v>42825</v>
      </c>
      <c r="D3" s="12">
        <f>'Data Sheet'!D81</f>
        <v>43190</v>
      </c>
      <c r="E3" s="12">
        <f>'Data Sheet'!E81</f>
        <v>43555</v>
      </c>
      <c r="F3" s="12">
        <f>'Data Sheet'!F81</f>
        <v>43921</v>
      </c>
      <c r="G3" s="12">
        <f>'Data Sheet'!G81</f>
        <v>44286</v>
      </c>
      <c r="H3" s="12">
        <f>'Data Sheet'!H81</f>
        <v>44651</v>
      </c>
      <c r="I3" s="12">
        <f>'Data Sheet'!I81</f>
        <v>45016</v>
      </c>
      <c r="J3" s="12">
        <f>'Data Sheet'!J81</f>
        <v>45382</v>
      </c>
      <c r="K3" s="12">
        <f>'Data Sheet'!K81</f>
        <v>45747</v>
      </c>
    </row>
    <row r="4" spans="1:11" s="2" customFormat="1" x14ac:dyDescent="0.3">
      <c r="A4" s="2" t="s">
        <v>32</v>
      </c>
      <c r="B4" s="1">
        <f>'Data Sheet'!B82</f>
        <v>1740.81</v>
      </c>
      <c r="C4" s="1">
        <f>'Data Sheet'!C82</f>
        <v>2381.7600000000002</v>
      </c>
      <c r="D4" s="1">
        <f>'Data Sheet'!D82</f>
        <v>1462.76</v>
      </c>
      <c r="E4" s="1">
        <f>'Data Sheet'!E82</f>
        <v>1691.15</v>
      </c>
      <c r="F4" s="1">
        <f>'Data Sheet'!F82</f>
        <v>3068.45</v>
      </c>
      <c r="G4" s="1">
        <f>'Data Sheet'!G82</f>
        <v>3755.2</v>
      </c>
      <c r="H4" s="1">
        <f>'Data Sheet'!H82</f>
        <v>3325.9</v>
      </c>
      <c r="I4" s="1">
        <f>'Data Sheet'!I82</f>
        <v>3237.65</v>
      </c>
      <c r="J4" s="1">
        <f>'Data Sheet'!J82</f>
        <v>4133.91</v>
      </c>
      <c r="K4" s="1">
        <f>'Data Sheet'!K82</f>
        <v>5004.9799999999996</v>
      </c>
    </row>
    <row r="5" spans="1:11" x14ac:dyDescent="0.3">
      <c r="A5" t="s">
        <v>33</v>
      </c>
      <c r="B5" s="6">
        <f>'Data Sheet'!B83</f>
        <v>-4532.5600000000004</v>
      </c>
      <c r="C5" s="6">
        <f>'Data Sheet'!C83</f>
        <v>-1303.8800000000001</v>
      </c>
      <c r="D5" s="6">
        <f>'Data Sheet'!D83</f>
        <v>-834.17</v>
      </c>
      <c r="E5" s="6">
        <f>'Data Sheet'!E83</f>
        <v>-1687.53</v>
      </c>
      <c r="F5" s="6">
        <f>'Data Sheet'!F83</f>
        <v>114.39</v>
      </c>
      <c r="G5" s="6">
        <f>'Data Sheet'!G83</f>
        <v>-2374.39</v>
      </c>
      <c r="H5" s="6">
        <f>'Data Sheet'!H83</f>
        <v>-1858.43</v>
      </c>
      <c r="I5" s="6">
        <f>'Data Sheet'!I83</f>
        <v>-2376.14</v>
      </c>
      <c r="J5" s="6">
        <f>'Data Sheet'!J83</f>
        <v>-2982.47</v>
      </c>
      <c r="K5" s="6">
        <f>'Data Sheet'!K83</f>
        <v>-3681.88</v>
      </c>
    </row>
    <row r="6" spans="1:11" x14ac:dyDescent="0.3">
      <c r="A6" t="s">
        <v>34</v>
      </c>
      <c r="B6" s="6">
        <f>'Data Sheet'!B84</f>
        <v>3104.06</v>
      </c>
      <c r="C6" s="6">
        <f>'Data Sheet'!C84</f>
        <v>-1325.68</v>
      </c>
      <c r="D6" s="6">
        <f>'Data Sheet'!D84</f>
        <v>-385.48</v>
      </c>
      <c r="E6" s="6">
        <f>'Data Sheet'!E84</f>
        <v>-348.72</v>
      </c>
      <c r="F6" s="6">
        <f>'Data Sheet'!F84</f>
        <v>-2948.82</v>
      </c>
      <c r="G6" s="6">
        <f>'Data Sheet'!G84</f>
        <v>-1239.51</v>
      </c>
      <c r="H6" s="6">
        <f>'Data Sheet'!H84</f>
        <v>-1599.79</v>
      </c>
      <c r="I6" s="6">
        <f>'Data Sheet'!I84</f>
        <v>-958.29</v>
      </c>
      <c r="J6" s="6">
        <f>'Data Sheet'!J84</f>
        <v>-1200.43</v>
      </c>
      <c r="K6" s="6">
        <f>'Data Sheet'!K84</f>
        <v>-1292.79</v>
      </c>
    </row>
    <row r="7" spans="1:11" s="2" customFormat="1" x14ac:dyDescent="0.3">
      <c r="A7" s="2" t="s">
        <v>35</v>
      </c>
      <c r="B7" s="1">
        <f>'Data Sheet'!B85</f>
        <v>312.31</v>
      </c>
      <c r="C7" s="1">
        <f>'Data Sheet'!C85</f>
        <v>-247.8</v>
      </c>
      <c r="D7" s="1">
        <f>'Data Sheet'!D85</f>
        <v>243.11</v>
      </c>
      <c r="E7" s="1">
        <f>'Data Sheet'!E85</f>
        <v>-345.1</v>
      </c>
      <c r="F7" s="1">
        <f>'Data Sheet'!F85</f>
        <v>234.02</v>
      </c>
      <c r="G7" s="1">
        <f>'Data Sheet'!G85</f>
        <v>141.30000000000001</v>
      </c>
      <c r="H7" s="1">
        <f>'Data Sheet'!H85</f>
        <v>-132.32</v>
      </c>
      <c r="I7" s="1">
        <f>'Data Sheet'!I85</f>
        <v>-96.78</v>
      </c>
      <c r="J7" s="1">
        <f>'Data Sheet'!J85</f>
        <v>-48.99</v>
      </c>
      <c r="K7" s="1">
        <f>'Data Sheet'!K85</f>
        <v>30.31</v>
      </c>
    </row>
    <row r="8" spans="1:11" x14ac:dyDescent="0.3">
      <c r="B8" s="6"/>
      <c r="C8" s="6"/>
      <c r="D8" s="6"/>
      <c r="E8" s="6"/>
      <c r="F8" s="6"/>
      <c r="G8" s="6"/>
      <c r="H8" s="6"/>
      <c r="I8" s="6"/>
      <c r="J8" s="6"/>
      <c r="K8" s="6"/>
    </row>
  </sheetData>
  <hyperlinks>
    <hyperlink ref="J1" r:id="rId1" xr:uid="{00000000-0004-0000-0300-000000000000}"/>
  </hyperlinks>
  <printOptions gridLines="1"/>
  <pageMargins left="0.7" right="0.7" top="0.75" bottom="0.75" header="0.3" footer="0.3"/>
  <pageSetup paperSize="9" orientation="landscape" horizontalDpi="0" verticalDpi="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93"/>
  <sheetViews>
    <sheetView zoomScale="120" zoomScaleNormal="120" zoomScalePageLayoutView="120" workbookViewId="0">
      <pane xSplit="1" ySplit="1" topLeftCell="B2" activePane="bottomRight" state="frozen"/>
      <selection activeCell="C4" sqref="C4"/>
      <selection pane="topRight" activeCell="C4" sqref="C4"/>
      <selection pane="bottomLeft" activeCell="C4" sqref="C4"/>
      <selection pane="bottomRight" activeCell="A51" sqref="A51"/>
    </sheetView>
  </sheetViews>
  <sheetFormatPr defaultColWidth="8.77734375" defaultRowHeight="14.4" x14ac:dyDescent="0.3"/>
  <cols>
    <col min="1" max="1" width="27.6640625" style="4" bestFit="1" customWidth="1"/>
    <col min="2" max="11" width="13.44140625" style="4" bestFit="1" customWidth="1"/>
    <col min="12" max="16384" width="8.77734375" style="4"/>
  </cols>
  <sheetData>
    <row r="1" spans="1:11" s="1" customFormat="1" x14ac:dyDescent="0.3">
      <c r="A1" s="1" t="s">
        <v>0</v>
      </c>
      <c r="B1" s="1" t="s">
        <v>54</v>
      </c>
      <c r="E1" s="202" t="str">
        <f>IF(B2&lt;&gt;B3, "A NEW VERSION OF THE WORKSHEET IS AVAILABLE", "")</f>
        <v/>
      </c>
      <c r="F1" s="202"/>
      <c r="G1" s="202"/>
      <c r="H1" s="202"/>
      <c r="I1" s="202"/>
      <c r="J1" s="202"/>
      <c r="K1" s="202"/>
    </row>
    <row r="2" spans="1:11" x14ac:dyDescent="0.3">
      <c r="A2" s="1" t="s">
        <v>52</v>
      </c>
      <c r="B2" s="4">
        <v>2.1</v>
      </c>
      <c r="E2" s="203" t="s">
        <v>36</v>
      </c>
      <c r="F2" s="203"/>
      <c r="G2" s="203"/>
      <c r="H2" s="203"/>
      <c r="I2" s="203"/>
      <c r="J2" s="203"/>
      <c r="K2" s="203"/>
    </row>
    <row r="3" spans="1:11" x14ac:dyDescent="0.3">
      <c r="A3" s="1" t="s">
        <v>53</v>
      </c>
      <c r="B3" s="4">
        <v>2.1</v>
      </c>
    </row>
    <row r="4" spans="1:11" x14ac:dyDescent="0.3">
      <c r="A4" s="1"/>
    </row>
    <row r="5" spans="1:11" x14ac:dyDescent="0.3">
      <c r="A5" s="1" t="s">
        <v>55</v>
      </c>
    </row>
    <row r="6" spans="1:11" x14ac:dyDescent="0.3">
      <c r="A6" s="4" t="s">
        <v>42</v>
      </c>
      <c r="B6" s="4">
        <f>IF(B9&gt;0, B9/B8, 0)</f>
        <v>80.776571572835138</v>
      </c>
    </row>
    <row r="7" spans="1:11" x14ac:dyDescent="0.3">
      <c r="A7" s="4" t="s">
        <v>31</v>
      </c>
      <c r="B7">
        <v>2</v>
      </c>
    </row>
    <row r="8" spans="1:11" x14ac:dyDescent="0.3">
      <c r="A8" s="4" t="s">
        <v>43</v>
      </c>
      <c r="B8">
        <v>1584.4</v>
      </c>
    </row>
    <row r="9" spans="1:11" x14ac:dyDescent="0.3">
      <c r="A9" s="4" t="s">
        <v>70</v>
      </c>
      <c r="B9">
        <v>127982.39999999999</v>
      </c>
    </row>
    <row r="15" spans="1:11" x14ac:dyDescent="0.3">
      <c r="A15" s="1" t="s">
        <v>37</v>
      </c>
    </row>
    <row r="16" spans="1:11" s="18" customFormat="1" x14ac:dyDescent="0.3">
      <c r="A16" s="17" t="s">
        <v>38</v>
      </c>
      <c r="B16" s="12">
        <v>42460</v>
      </c>
      <c r="C16" s="12">
        <v>42825</v>
      </c>
      <c r="D16" s="12">
        <v>43190</v>
      </c>
      <c r="E16" s="12">
        <v>43555</v>
      </c>
      <c r="F16" s="12">
        <v>43921</v>
      </c>
      <c r="G16" s="12">
        <v>44286</v>
      </c>
      <c r="H16" s="12">
        <v>44651</v>
      </c>
      <c r="I16" s="12">
        <v>45016</v>
      </c>
      <c r="J16" s="12">
        <v>45382</v>
      </c>
      <c r="K16" s="12">
        <v>45747</v>
      </c>
    </row>
    <row r="17" spans="1:11" s="6" customFormat="1" x14ac:dyDescent="0.3">
      <c r="A17" s="6" t="s">
        <v>6</v>
      </c>
      <c r="B17">
        <v>13790.1</v>
      </c>
      <c r="C17">
        <v>14394.29</v>
      </c>
      <c r="D17">
        <v>15155.71</v>
      </c>
      <c r="E17">
        <v>16362.41</v>
      </c>
      <c r="F17">
        <v>17131.990000000002</v>
      </c>
      <c r="G17">
        <v>19159.59</v>
      </c>
      <c r="H17">
        <v>21763.34</v>
      </c>
      <c r="I17">
        <v>22753.119999999999</v>
      </c>
      <c r="J17">
        <v>25774.09</v>
      </c>
      <c r="K17">
        <v>27547.62</v>
      </c>
    </row>
    <row r="18" spans="1:11" s="6" customFormat="1" x14ac:dyDescent="0.3">
      <c r="A18" s="4" t="s">
        <v>71</v>
      </c>
      <c r="B18">
        <v>5026.3100000000004</v>
      </c>
      <c r="C18">
        <v>5206.16</v>
      </c>
      <c r="D18">
        <v>5671.36</v>
      </c>
      <c r="E18">
        <v>5737.45</v>
      </c>
      <c r="F18">
        <v>6236.18</v>
      </c>
      <c r="G18">
        <v>7544.6</v>
      </c>
      <c r="H18">
        <v>9220.2900000000009</v>
      </c>
      <c r="I18">
        <v>8348.2800000000007</v>
      </c>
      <c r="J18">
        <v>8756.5400000000009</v>
      </c>
      <c r="K18">
        <v>9261.09</v>
      </c>
    </row>
    <row r="19" spans="1:11" s="6" customFormat="1" x14ac:dyDescent="0.3">
      <c r="A19" s="4" t="s">
        <v>72</v>
      </c>
      <c r="B19">
        <v>-63.55</v>
      </c>
      <c r="C19">
        <v>-110.96</v>
      </c>
      <c r="D19">
        <v>232.94</v>
      </c>
      <c r="E19">
        <v>-47.04</v>
      </c>
      <c r="F19">
        <v>244.76</v>
      </c>
      <c r="G19">
        <v>192.71</v>
      </c>
      <c r="H19">
        <v>724.69</v>
      </c>
      <c r="I19">
        <v>96</v>
      </c>
      <c r="J19">
        <v>-63.03</v>
      </c>
      <c r="K19">
        <v>332.1</v>
      </c>
    </row>
    <row r="20" spans="1:11" s="6" customFormat="1" x14ac:dyDescent="0.3">
      <c r="A20" s="4" t="s">
        <v>73</v>
      </c>
      <c r="B20">
        <v>245.92</v>
      </c>
      <c r="C20">
        <v>251.73</v>
      </c>
      <c r="D20">
        <v>298.82</v>
      </c>
      <c r="E20">
        <v>335.11</v>
      </c>
      <c r="F20">
        <v>327.43</v>
      </c>
      <c r="G20">
        <v>308.26</v>
      </c>
      <c r="H20">
        <v>331.03</v>
      </c>
      <c r="I20">
        <v>353.61</v>
      </c>
      <c r="J20">
        <v>364.84</v>
      </c>
      <c r="K20">
        <v>397.18</v>
      </c>
    </row>
    <row r="21" spans="1:11" s="6" customFormat="1" x14ac:dyDescent="0.3">
      <c r="A21" s="4" t="s">
        <v>74</v>
      </c>
      <c r="B21">
        <v>1000.01</v>
      </c>
      <c r="C21">
        <v>912.5</v>
      </c>
      <c r="D21">
        <v>952.02</v>
      </c>
      <c r="E21">
        <v>928.08</v>
      </c>
      <c r="F21">
        <v>1017.51</v>
      </c>
      <c r="G21">
        <v>1073.5999999999999</v>
      </c>
      <c r="H21">
        <v>1187.54</v>
      </c>
      <c r="I21">
        <v>1204.51</v>
      </c>
      <c r="J21">
        <v>1348.89</v>
      </c>
      <c r="K21">
        <v>1517.96</v>
      </c>
    </row>
    <row r="22" spans="1:11" s="6" customFormat="1" x14ac:dyDescent="0.3">
      <c r="A22" s="4" t="s">
        <v>75</v>
      </c>
      <c r="B22">
        <v>2436.4299999999998</v>
      </c>
      <c r="C22">
        <v>2640.82</v>
      </c>
      <c r="D22">
        <v>2699.32</v>
      </c>
      <c r="E22">
        <v>2866.09</v>
      </c>
      <c r="F22">
        <v>3036.41</v>
      </c>
      <c r="G22">
        <v>3261.85</v>
      </c>
      <c r="H22">
        <v>3542.24</v>
      </c>
      <c r="I22">
        <v>3842.73</v>
      </c>
      <c r="J22">
        <v>4325.76</v>
      </c>
      <c r="K22">
        <v>4851.87</v>
      </c>
    </row>
    <row r="23" spans="1:11" s="6" customFormat="1" x14ac:dyDescent="0.3">
      <c r="A23" s="4" t="s">
        <v>76</v>
      </c>
      <c r="B23">
        <v>1901.58</v>
      </c>
      <c r="C23">
        <v>2150.79</v>
      </c>
      <c r="D23">
        <v>2344.7600000000002</v>
      </c>
      <c r="E23">
        <v>2725.09</v>
      </c>
      <c r="F23">
        <v>2886.29</v>
      </c>
      <c r="G23">
        <v>2407.34</v>
      </c>
      <c r="H23">
        <v>3129.42</v>
      </c>
      <c r="I23">
        <v>3490.27</v>
      </c>
      <c r="J23">
        <v>3813.65</v>
      </c>
      <c r="K23">
        <v>3983.61</v>
      </c>
    </row>
    <row r="24" spans="1:11" s="6" customFormat="1" x14ac:dyDescent="0.3">
      <c r="A24" s="4" t="s">
        <v>77</v>
      </c>
      <c r="B24">
        <v>636.63</v>
      </c>
      <c r="C24">
        <v>625.02</v>
      </c>
      <c r="D24">
        <v>595.99</v>
      </c>
      <c r="E24">
        <v>626.24</v>
      </c>
      <c r="F24">
        <v>666.94</v>
      </c>
      <c r="G24">
        <v>504.22</v>
      </c>
      <c r="H24">
        <v>524.73</v>
      </c>
      <c r="I24">
        <v>582.75</v>
      </c>
      <c r="J24">
        <v>810.33</v>
      </c>
      <c r="K24">
        <v>740.11</v>
      </c>
    </row>
    <row r="25" spans="1:11" s="6" customFormat="1" x14ac:dyDescent="0.3">
      <c r="A25" s="6" t="s">
        <v>9</v>
      </c>
      <c r="B25">
        <v>208.21</v>
      </c>
      <c r="C25">
        <v>208.17</v>
      </c>
      <c r="D25">
        <v>280.13</v>
      </c>
      <c r="E25">
        <v>476.57</v>
      </c>
      <c r="F25">
        <v>344.2</v>
      </c>
      <c r="G25">
        <v>265.99</v>
      </c>
      <c r="H25">
        <v>98.79</v>
      </c>
      <c r="I25">
        <v>293.02999999999997</v>
      </c>
      <c r="J25">
        <v>551.75</v>
      </c>
      <c r="K25">
        <v>861.87</v>
      </c>
    </row>
    <row r="26" spans="1:11" s="6" customFormat="1" x14ac:dyDescent="0.3">
      <c r="A26" s="6" t="s">
        <v>10</v>
      </c>
      <c r="B26">
        <v>754.22</v>
      </c>
      <c r="C26">
        <v>1322.93</v>
      </c>
      <c r="D26">
        <v>1322.82</v>
      </c>
      <c r="E26">
        <v>1326.31</v>
      </c>
      <c r="F26">
        <v>1174.6500000000001</v>
      </c>
      <c r="G26">
        <v>1067.6600000000001</v>
      </c>
      <c r="H26">
        <v>1051.95</v>
      </c>
      <c r="I26">
        <v>1172.1099999999999</v>
      </c>
      <c r="J26">
        <v>1051.02</v>
      </c>
      <c r="K26">
        <v>1106.95</v>
      </c>
    </row>
    <row r="27" spans="1:11" s="6" customFormat="1" x14ac:dyDescent="0.3">
      <c r="A27" s="6" t="s">
        <v>11</v>
      </c>
      <c r="B27">
        <v>206.63</v>
      </c>
      <c r="C27">
        <v>159.38</v>
      </c>
      <c r="D27">
        <v>114.23</v>
      </c>
      <c r="E27">
        <v>168.43</v>
      </c>
      <c r="F27">
        <v>197.36</v>
      </c>
      <c r="G27">
        <v>160.69999999999999</v>
      </c>
      <c r="H27">
        <v>106.35</v>
      </c>
      <c r="I27">
        <v>109.54</v>
      </c>
      <c r="J27">
        <v>89.88</v>
      </c>
      <c r="K27">
        <v>62.01</v>
      </c>
    </row>
    <row r="28" spans="1:11" s="6" customFormat="1" x14ac:dyDescent="0.3">
      <c r="A28" s="6" t="s">
        <v>12</v>
      </c>
      <c r="B28">
        <v>1727.03</v>
      </c>
      <c r="C28">
        <v>1222.17</v>
      </c>
      <c r="D28">
        <v>1669.46</v>
      </c>
      <c r="E28">
        <v>2079.14</v>
      </c>
      <c r="F28">
        <v>2178.1799999999998</v>
      </c>
      <c r="G28">
        <v>3290.06</v>
      </c>
      <c r="H28">
        <v>3493.27</v>
      </c>
      <c r="I28">
        <v>4038.35</v>
      </c>
      <c r="J28">
        <v>5701.9</v>
      </c>
      <c r="K28">
        <v>6820.81</v>
      </c>
    </row>
    <row r="29" spans="1:11" s="6" customFormat="1" x14ac:dyDescent="0.3">
      <c r="A29" s="6" t="s">
        <v>13</v>
      </c>
      <c r="B29">
        <v>331.59</v>
      </c>
      <c r="C29">
        <v>179.76</v>
      </c>
      <c r="D29">
        <v>250.11</v>
      </c>
      <c r="E29">
        <v>569.53</v>
      </c>
      <c r="F29">
        <v>631.20000000000005</v>
      </c>
      <c r="G29">
        <v>888.76</v>
      </c>
      <c r="H29">
        <v>933.8</v>
      </c>
      <c r="I29">
        <v>1202.8599999999999</v>
      </c>
      <c r="J29">
        <v>1546.59</v>
      </c>
      <c r="K29">
        <v>1529.76</v>
      </c>
    </row>
    <row r="30" spans="1:11" s="6" customFormat="1" x14ac:dyDescent="0.3">
      <c r="A30" s="6" t="s">
        <v>14</v>
      </c>
      <c r="B30">
        <v>1359.99</v>
      </c>
      <c r="C30">
        <v>1006.39</v>
      </c>
      <c r="D30">
        <v>1410.53</v>
      </c>
      <c r="E30">
        <v>1527.7</v>
      </c>
      <c r="F30">
        <v>1546.52</v>
      </c>
      <c r="G30">
        <v>2404.87</v>
      </c>
      <c r="H30">
        <v>2516.75</v>
      </c>
      <c r="I30">
        <v>2801.91</v>
      </c>
      <c r="J30">
        <v>4121.55</v>
      </c>
      <c r="K30">
        <v>5272.52</v>
      </c>
    </row>
    <row r="31" spans="1:11" s="6" customFormat="1" x14ac:dyDescent="0.3">
      <c r="A31" s="6" t="s">
        <v>61</v>
      </c>
      <c r="B31">
        <v>160.68</v>
      </c>
      <c r="C31">
        <v>160.9</v>
      </c>
      <c r="D31">
        <v>241.53</v>
      </c>
      <c r="E31">
        <v>241.71</v>
      </c>
      <c r="F31">
        <v>322.5</v>
      </c>
      <c r="G31">
        <v>403.22</v>
      </c>
      <c r="H31">
        <v>403.4</v>
      </c>
      <c r="I31">
        <v>686.08</v>
      </c>
      <c r="J31">
        <v>1049.56</v>
      </c>
      <c r="K31">
        <v>1292.1600000000001</v>
      </c>
    </row>
    <row r="32" spans="1:11" s="6" customFormat="1" x14ac:dyDescent="0.3"/>
    <row r="33" spans="1:11" x14ac:dyDescent="0.3">
      <c r="A33" s="6"/>
    </row>
    <row r="34" spans="1:11" x14ac:dyDescent="0.3">
      <c r="A34" s="6"/>
    </row>
    <row r="35" spans="1:11" x14ac:dyDescent="0.3">
      <c r="A35" s="6"/>
    </row>
    <row r="36" spans="1:11" x14ac:dyDescent="0.3">
      <c r="A36" s="6"/>
    </row>
    <row r="37" spans="1:11" x14ac:dyDescent="0.3">
      <c r="A37" s="6"/>
    </row>
    <row r="38" spans="1:11" x14ac:dyDescent="0.3">
      <c r="A38" s="6"/>
    </row>
    <row r="39" spans="1:11" x14ac:dyDescent="0.3">
      <c r="A39" s="6"/>
    </row>
    <row r="40" spans="1:11" x14ac:dyDescent="0.3">
      <c r="A40" s="1" t="s">
        <v>39</v>
      </c>
    </row>
    <row r="41" spans="1:11" s="18" customFormat="1" x14ac:dyDescent="0.3">
      <c r="A41" s="17" t="s">
        <v>38</v>
      </c>
      <c r="B41" s="12">
        <v>45016</v>
      </c>
      <c r="C41" s="12">
        <v>45107</v>
      </c>
      <c r="D41" s="12">
        <v>45199</v>
      </c>
      <c r="E41" s="12">
        <v>45291</v>
      </c>
      <c r="F41" s="12">
        <v>45382</v>
      </c>
      <c r="G41" s="12">
        <v>45473</v>
      </c>
      <c r="H41" s="12">
        <v>45565</v>
      </c>
      <c r="I41" s="12">
        <v>45657</v>
      </c>
      <c r="J41" s="12">
        <v>45747</v>
      </c>
      <c r="K41" s="12">
        <v>45838</v>
      </c>
    </row>
    <row r="42" spans="1:11" s="6" customFormat="1" x14ac:dyDescent="0.3">
      <c r="A42" s="6" t="s">
        <v>6</v>
      </c>
      <c r="B42">
        <v>5739.3</v>
      </c>
      <c r="C42">
        <v>6328.89</v>
      </c>
      <c r="D42">
        <v>6678.15</v>
      </c>
      <c r="E42">
        <v>6603.81</v>
      </c>
      <c r="F42">
        <v>6163.24</v>
      </c>
      <c r="G42">
        <v>6693.94</v>
      </c>
      <c r="H42">
        <v>7051.02</v>
      </c>
      <c r="I42">
        <v>7072.97</v>
      </c>
      <c r="J42">
        <v>6729.69</v>
      </c>
      <c r="K42">
        <v>6957.47</v>
      </c>
    </row>
    <row r="43" spans="1:11" s="6" customFormat="1" x14ac:dyDescent="0.3">
      <c r="A43" s="6" t="s">
        <v>7</v>
      </c>
      <c r="B43">
        <v>4565.5600000000004</v>
      </c>
      <c r="C43">
        <v>4834.9799999999996</v>
      </c>
      <c r="D43">
        <v>4944.3999999999996</v>
      </c>
      <c r="E43">
        <v>4856.28</v>
      </c>
      <c r="F43">
        <v>4847.38</v>
      </c>
      <c r="G43">
        <v>4978.1400000000003</v>
      </c>
      <c r="H43">
        <v>5165.43</v>
      </c>
      <c r="I43">
        <v>5084.05</v>
      </c>
      <c r="J43">
        <v>5192.1000000000004</v>
      </c>
      <c r="K43">
        <v>5179.33</v>
      </c>
    </row>
    <row r="44" spans="1:11" s="6" customFormat="1" x14ac:dyDescent="0.3">
      <c r="A44" s="6" t="s">
        <v>9</v>
      </c>
      <c r="B44">
        <v>-47.79</v>
      </c>
      <c r="C44">
        <v>136.29</v>
      </c>
      <c r="D44">
        <v>176.32</v>
      </c>
      <c r="E44">
        <v>-10.19</v>
      </c>
      <c r="F44">
        <v>249.33</v>
      </c>
      <c r="G44">
        <v>160.19</v>
      </c>
      <c r="H44">
        <v>190.61</v>
      </c>
      <c r="I44">
        <v>221.61</v>
      </c>
      <c r="J44">
        <v>289.45999999999998</v>
      </c>
      <c r="K44">
        <v>258.56</v>
      </c>
    </row>
    <row r="45" spans="1:11" s="6" customFormat="1" x14ac:dyDescent="0.3">
      <c r="A45" s="6" t="s">
        <v>10</v>
      </c>
      <c r="B45">
        <v>346.22</v>
      </c>
      <c r="C45">
        <v>239.21</v>
      </c>
      <c r="D45">
        <v>290.04000000000002</v>
      </c>
      <c r="E45">
        <v>233.43</v>
      </c>
      <c r="F45">
        <v>288.33999999999997</v>
      </c>
      <c r="G45">
        <v>246.68</v>
      </c>
      <c r="H45">
        <v>271.74</v>
      </c>
      <c r="I45">
        <v>279.8</v>
      </c>
      <c r="J45">
        <v>308.73</v>
      </c>
      <c r="K45">
        <v>252.72</v>
      </c>
    </row>
    <row r="46" spans="1:11" s="6" customFormat="1" x14ac:dyDescent="0.3">
      <c r="A46" s="6" t="s">
        <v>11</v>
      </c>
      <c r="B46">
        <v>34.36</v>
      </c>
      <c r="C46">
        <v>16.39</v>
      </c>
      <c r="D46">
        <v>25.8</v>
      </c>
      <c r="E46">
        <v>30.1</v>
      </c>
      <c r="F46">
        <v>17.59</v>
      </c>
      <c r="G46">
        <v>17.95</v>
      </c>
      <c r="H46">
        <v>15.4</v>
      </c>
      <c r="I46">
        <v>14.64</v>
      </c>
      <c r="J46">
        <v>14.02</v>
      </c>
      <c r="K46">
        <v>14.05</v>
      </c>
    </row>
    <row r="47" spans="1:11" s="6" customFormat="1" x14ac:dyDescent="0.3">
      <c r="A47" s="6" t="s">
        <v>12</v>
      </c>
      <c r="B47">
        <v>745.37</v>
      </c>
      <c r="C47">
        <v>1374.6</v>
      </c>
      <c r="D47">
        <v>1594.23</v>
      </c>
      <c r="E47">
        <v>1473.81</v>
      </c>
      <c r="F47">
        <v>1259.26</v>
      </c>
      <c r="G47">
        <v>1611.36</v>
      </c>
      <c r="H47">
        <v>1789.06</v>
      </c>
      <c r="I47">
        <v>1916.09</v>
      </c>
      <c r="J47">
        <v>1504.3</v>
      </c>
      <c r="K47">
        <v>1769.93</v>
      </c>
    </row>
    <row r="48" spans="1:11" s="6" customFormat="1" x14ac:dyDescent="0.3">
      <c r="A48" s="6" t="s">
        <v>13</v>
      </c>
      <c r="B48">
        <v>222.25</v>
      </c>
      <c r="C48">
        <v>378.02</v>
      </c>
      <c r="D48">
        <v>438.41</v>
      </c>
      <c r="E48">
        <v>405.3</v>
      </c>
      <c r="F48">
        <v>324.86</v>
      </c>
      <c r="G48">
        <v>435.07</v>
      </c>
      <c r="H48">
        <v>483.04</v>
      </c>
      <c r="I48">
        <v>332.37</v>
      </c>
      <c r="J48">
        <v>279.27999999999997</v>
      </c>
      <c r="K48">
        <v>477.88</v>
      </c>
    </row>
    <row r="49" spans="1:11" s="6" customFormat="1" x14ac:dyDescent="0.3">
      <c r="A49" s="6" t="s">
        <v>14</v>
      </c>
      <c r="B49">
        <v>525.65</v>
      </c>
      <c r="C49">
        <v>995.7</v>
      </c>
      <c r="D49">
        <v>1130.9100000000001</v>
      </c>
      <c r="E49">
        <v>1055.9000000000001</v>
      </c>
      <c r="F49">
        <v>939.04</v>
      </c>
      <c r="G49">
        <v>1177.6400000000001</v>
      </c>
      <c r="H49">
        <v>1302.53</v>
      </c>
      <c r="I49">
        <v>1570.51</v>
      </c>
      <c r="J49">
        <v>1221.8399999999999</v>
      </c>
      <c r="K49">
        <v>1297.6199999999999</v>
      </c>
    </row>
    <row r="50" spans="1:11" x14ac:dyDescent="0.3">
      <c r="A50" s="6" t="s">
        <v>8</v>
      </c>
      <c r="B50">
        <v>1173.74</v>
      </c>
      <c r="C50">
        <v>1493.91</v>
      </c>
      <c r="D50">
        <v>1733.75</v>
      </c>
      <c r="E50">
        <v>1747.53</v>
      </c>
      <c r="F50">
        <v>1315.86</v>
      </c>
      <c r="G50">
        <v>1715.8</v>
      </c>
      <c r="H50">
        <v>1885.59</v>
      </c>
      <c r="I50">
        <v>1988.92</v>
      </c>
      <c r="J50">
        <v>1537.59</v>
      </c>
      <c r="K50">
        <v>1778.14</v>
      </c>
    </row>
    <row r="51" spans="1:11" x14ac:dyDescent="0.3">
      <c r="A51" s="6"/>
    </row>
    <row r="52" spans="1:11" x14ac:dyDescent="0.3">
      <c r="A52" s="6"/>
    </row>
    <row r="53" spans="1:11" x14ac:dyDescent="0.3">
      <c r="A53" s="6"/>
    </row>
    <row r="54" spans="1:11" x14ac:dyDescent="0.3">
      <c r="A54" s="6"/>
    </row>
    <row r="55" spans="1:11" x14ac:dyDescent="0.3">
      <c r="A55" s="1" t="s">
        <v>40</v>
      </c>
    </row>
    <row r="56" spans="1:11" s="18" customFormat="1" x14ac:dyDescent="0.3">
      <c r="A56" s="17" t="s">
        <v>38</v>
      </c>
      <c r="B56" s="12">
        <v>42460</v>
      </c>
      <c r="C56" s="12">
        <v>42825</v>
      </c>
      <c r="D56" s="12">
        <v>43190</v>
      </c>
      <c r="E56" s="12">
        <v>43555</v>
      </c>
      <c r="F56" s="12">
        <v>43921</v>
      </c>
      <c r="G56" s="12">
        <v>44286</v>
      </c>
      <c r="H56" s="12">
        <v>44651</v>
      </c>
      <c r="I56" s="12">
        <v>45016</v>
      </c>
      <c r="J56" s="12">
        <v>45382</v>
      </c>
      <c r="K56" s="12">
        <v>45747</v>
      </c>
    </row>
    <row r="57" spans="1:11" x14ac:dyDescent="0.3">
      <c r="A57" s="6" t="s">
        <v>24</v>
      </c>
      <c r="B57">
        <v>160.68</v>
      </c>
      <c r="C57">
        <v>160.9</v>
      </c>
      <c r="D57">
        <v>161.02000000000001</v>
      </c>
      <c r="E57">
        <v>161.13999999999999</v>
      </c>
      <c r="F57">
        <v>161.25</v>
      </c>
      <c r="G57">
        <v>161.29</v>
      </c>
      <c r="H57">
        <v>161.36000000000001</v>
      </c>
      <c r="I57">
        <v>161.43</v>
      </c>
      <c r="J57">
        <v>161.47</v>
      </c>
      <c r="K57">
        <v>161.52000000000001</v>
      </c>
    </row>
    <row r="58" spans="1:11" x14ac:dyDescent="0.3">
      <c r="A58" s="6" t="s">
        <v>25</v>
      </c>
      <c r="B58">
        <v>11355.54</v>
      </c>
      <c r="C58">
        <v>12382.76</v>
      </c>
      <c r="D58">
        <v>14068.17</v>
      </c>
      <c r="E58">
        <v>14851.14</v>
      </c>
      <c r="F58">
        <v>15601.75</v>
      </c>
      <c r="G58">
        <v>18165.240000000002</v>
      </c>
      <c r="H58">
        <v>20680.330000000002</v>
      </c>
      <c r="I58">
        <v>23246.35</v>
      </c>
      <c r="J58">
        <v>26544.959999999999</v>
      </c>
      <c r="K58">
        <v>31031.93</v>
      </c>
    </row>
    <row r="59" spans="1:11" x14ac:dyDescent="0.3">
      <c r="A59" s="6" t="s">
        <v>62</v>
      </c>
      <c r="B59">
        <v>5201.92</v>
      </c>
      <c r="C59">
        <v>4112.66</v>
      </c>
      <c r="D59">
        <v>4098.05</v>
      </c>
      <c r="E59">
        <v>4316.2299999999996</v>
      </c>
      <c r="F59">
        <v>2816.43</v>
      </c>
      <c r="G59">
        <v>2014.41</v>
      </c>
      <c r="H59">
        <v>1055.78</v>
      </c>
      <c r="I59">
        <v>803.12</v>
      </c>
      <c r="J59">
        <v>559.41</v>
      </c>
      <c r="K59">
        <v>438.19</v>
      </c>
    </row>
    <row r="60" spans="1:11" x14ac:dyDescent="0.3">
      <c r="A60" s="6" t="s">
        <v>63</v>
      </c>
      <c r="B60">
        <v>4331.3500000000004</v>
      </c>
      <c r="C60">
        <v>4212.62</v>
      </c>
      <c r="D60">
        <v>4345.66</v>
      </c>
      <c r="E60">
        <v>4433.3999999999996</v>
      </c>
      <c r="F60">
        <v>4843.3599999999997</v>
      </c>
      <c r="G60">
        <v>4514.34</v>
      </c>
      <c r="H60">
        <v>4959.6899999999996</v>
      </c>
      <c r="I60">
        <v>5089.1000000000004</v>
      </c>
      <c r="J60">
        <v>5266.69</v>
      </c>
      <c r="K60">
        <v>5701.87</v>
      </c>
    </row>
    <row r="61" spans="1:11" s="1" customFormat="1" x14ac:dyDescent="0.3">
      <c r="A61" s="1" t="s">
        <v>26</v>
      </c>
      <c r="B61">
        <v>21049.49</v>
      </c>
      <c r="C61">
        <v>20868.939999999999</v>
      </c>
      <c r="D61">
        <v>22672.9</v>
      </c>
      <c r="E61">
        <v>23761.91</v>
      </c>
      <c r="F61">
        <v>23422.79</v>
      </c>
      <c r="G61">
        <v>24855.279999999999</v>
      </c>
      <c r="H61">
        <v>26857.16</v>
      </c>
      <c r="I61">
        <v>29300</v>
      </c>
      <c r="J61">
        <v>32532.53</v>
      </c>
      <c r="K61">
        <v>37333.51</v>
      </c>
    </row>
    <row r="62" spans="1:11" x14ac:dyDescent="0.3">
      <c r="A62" s="6" t="s">
        <v>27</v>
      </c>
      <c r="B62">
        <v>9368.32</v>
      </c>
      <c r="C62">
        <v>9491.98</v>
      </c>
      <c r="D62">
        <v>9950.17</v>
      </c>
      <c r="E62">
        <v>9608.36</v>
      </c>
      <c r="F62">
        <v>9682.89</v>
      </c>
      <c r="G62">
        <v>9515.52</v>
      </c>
      <c r="H62">
        <v>9683.33</v>
      </c>
      <c r="I62">
        <v>9160.48</v>
      </c>
      <c r="J62">
        <v>9607.2199999999993</v>
      </c>
      <c r="K62">
        <v>10006.39</v>
      </c>
    </row>
    <row r="63" spans="1:11" x14ac:dyDescent="0.3">
      <c r="A63" s="6" t="s">
        <v>28</v>
      </c>
      <c r="B63">
        <v>2060.87</v>
      </c>
      <c r="C63">
        <v>1682.98</v>
      </c>
      <c r="D63">
        <v>981.33</v>
      </c>
      <c r="E63">
        <v>676.18</v>
      </c>
      <c r="F63">
        <v>824.53</v>
      </c>
      <c r="G63">
        <v>968.89</v>
      </c>
      <c r="H63">
        <v>766.18</v>
      </c>
      <c r="I63">
        <v>1093.3</v>
      </c>
      <c r="J63">
        <v>1152.72</v>
      </c>
      <c r="K63">
        <v>1566.27</v>
      </c>
    </row>
    <row r="64" spans="1:11" x14ac:dyDescent="0.3">
      <c r="A64" s="6" t="s">
        <v>29</v>
      </c>
      <c r="B64">
        <v>758.69</v>
      </c>
      <c r="C64">
        <v>973.01</v>
      </c>
      <c r="D64">
        <v>1258.8399999999999</v>
      </c>
      <c r="E64">
        <v>2554.14</v>
      </c>
      <c r="F64">
        <v>1471.02</v>
      </c>
      <c r="G64">
        <v>2710.05</v>
      </c>
      <c r="H64">
        <v>2550.6</v>
      </c>
      <c r="I64">
        <v>3662.38</v>
      </c>
      <c r="J64">
        <v>5449.22</v>
      </c>
      <c r="K64">
        <v>7932.77</v>
      </c>
    </row>
    <row r="65" spans="1:11" x14ac:dyDescent="0.3">
      <c r="A65" s="6" t="s">
        <v>64</v>
      </c>
      <c r="B65">
        <v>8861.61</v>
      </c>
      <c r="C65">
        <v>8720.9699999999993</v>
      </c>
      <c r="D65">
        <v>10482.56</v>
      </c>
      <c r="E65">
        <v>10923.23</v>
      </c>
      <c r="F65">
        <v>11444.35</v>
      </c>
      <c r="G65">
        <v>11660.82</v>
      </c>
      <c r="H65">
        <v>13857.05</v>
      </c>
      <c r="I65">
        <v>15383.84</v>
      </c>
      <c r="J65">
        <v>16323.37</v>
      </c>
      <c r="K65">
        <v>17828.080000000002</v>
      </c>
    </row>
    <row r="66" spans="1:11" s="1" customFormat="1" x14ac:dyDescent="0.3">
      <c r="A66" s="1" t="s">
        <v>26</v>
      </c>
      <c r="B66">
        <v>21049.49</v>
      </c>
      <c r="C66">
        <v>20868.939999999999</v>
      </c>
      <c r="D66">
        <v>22672.9</v>
      </c>
      <c r="E66">
        <v>23761.91</v>
      </c>
      <c r="F66">
        <v>23422.79</v>
      </c>
      <c r="G66">
        <v>24855.279999999999</v>
      </c>
      <c r="H66">
        <v>26857.16</v>
      </c>
      <c r="I66">
        <v>29300</v>
      </c>
      <c r="J66">
        <v>32532.53</v>
      </c>
      <c r="K66">
        <v>37333.51</v>
      </c>
    </row>
    <row r="67" spans="1:11" s="6" customFormat="1" x14ac:dyDescent="0.3">
      <c r="A67" s="6" t="s">
        <v>69</v>
      </c>
      <c r="B67">
        <v>2356.27</v>
      </c>
      <c r="C67">
        <v>2563.0500000000002</v>
      </c>
      <c r="D67">
        <v>3102.45</v>
      </c>
      <c r="E67">
        <v>4150.72</v>
      </c>
      <c r="F67">
        <v>3891.31</v>
      </c>
      <c r="G67">
        <v>3445.68</v>
      </c>
      <c r="H67">
        <v>3424.44</v>
      </c>
      <c r="I67">
        <v>4057</v>
      </c>
      <c r="J67">
        <v>4770.66</v>
      </c>
      <c r="K67">
        <v>5506.37</v>
      </c>
    </row>
    <row r="68" spans="1:11" x14ac:dyDescent="0.3">
      <c r="A68" s="6" t="s">
        <v>45</v>
      </c>
      <c r="B68">
        <v>3808.05</v>
      </c>
      <c r="C68">
        <v>3485.28</v>
      </c>
      <c r="D68">
        <v>4044.7</v>
      </c>
      <c r="E68">
        <v>3964.83</v>
      </c>
      <c r="F68">
        <v>4377.6000000000004</v>
      </c>
      <c r="G68">
        <v>4669.18</v>
      </c>
      <c r="H68">
        <v>5350.24</v>
      </c>
      <c r="I68">
        <v>5156.43</v>
      </c>
      <c r="J68">
        <v>5237.95</v>
      </c>
      <c r="K68">
        <v>5642.11</v>
      </c>
    </row>
    <row r="69" spans="1:11" x14ac:dyDescent="0.3">
      <c r="A69" s="4" t="s">
        <v>78</v>
      </c>
      <c r="B69">
        <v>871.4</v>
      </c>
      <c r="C69">
        <v>624.21</v>
      </c>
      <c r="D69">
        <v>965.61</v>
      </c>
      <c r="E69">
        <v>618.80999999999995</v>
      </c>
      <c r="F69">
        <v>1003.91</v>
      </c>
      <c r="G69">
        <v>1401.23</v>
      </c>
      <c r="H69">
        <v>1928.48</v>
      </c>
      <c r="I69">
        <v>1564.62</v>
      </c>
      <c r="J69">
        <v>874.97</v>
      </c>
      <c r="K69">
        <v>799.84</v>
      </c>
    </row>
    <row r="70" spans="1:11" x14ac:dyDescent="0.3">
      <c r="A70" s="4" t="s">
        <v>65</v>
      </c>
      <c r="B70">
        <v>803384282</v>
      </c>
      <c r="C70">
        <v>804510074</v>
      </c>
      <c r="D70">
        <v>805119164</v>
      </c>
      <c r="E70">
        <v>805701266</v>
      </c>
      <c r="F70">
        <v>806235329</v>
      </c>
      <c r="G70">
        <v>806463279</v>
      </c>
      <c r="H70">
        <v>806814036</v>
      </c>
      <c r="I70">
        <v>807150593</v>
      </c>
      <c r="J70">
        <v>807367062</v>
      </c>
      <c r="K70">
        <v>807617120</v>
      </c>
    </row>
    <row r="71" spans="1:11" x14ac:dyDescent="0.3">
      <c r="A71" s="4" t="s">
        <v>66</v>
      </c>
    </row>
    <row r="72" spans="1:11" x14ac:dyDescent="0.3">
      <c r="A72" s="4" t="s">
        <v>79</v>
      </c>
      <c r="B72">
        <v>2</v>
      </c>
      <c r="C72">
        <v>2</v>
      </c>
      <c r="D72">
        <v>2</v>
      </c>
      <c r="E72">
        <v>2</v>
      </c>
      <c r="F72">
        <v>2</v>
      </c>
      <c r="G72">
        <v>2</v>
      </c>
      <c r="H72">
        <v>2</v>
      </c>
      <c r="I72">
        <v>2</v>
      </c>
      <c r="J72">
        <v>2</v>
      </c>
      <c r="K72">
        <v>2</v>
      </c>
    </row>
    <row r="74" spans="1:11" x14ac:dyDescent="0.3">
      <c r="A74" s="6"/>
    </row>
    <row r="75" spans="1:11" x14ac:dyDescent="0.3">
      <c r="A75" s="6"/>
    </row>
    <row r="76" spans="1:11" x14ac:dyDescent="0.3">
      <c r="A76" s="6"/>
    </row>
    <row r="77" spans="1:11" x14ac:dyDescent="0.3">
      <c r="A77" s="6"/>
    </row>
    <row r="78" spans="1:11" x14ac:dyDescent="0.3">
      <c r="A78" s="6"/>
    </row>
    <row r="79" spans="1:11" x14ac:dyDescent="0.3">
      <c r="A79" s="6"/>
    </row>
    <row r="80" spans="1:11" x14ac:dyDescent="0.3">
      <c r="A80" s="1" t="s">
        <v>41</v>
      </c>
    </row>
    <row r="81" spans="1:11" s="18" customFormat="1" x14ac:dyDescent="0.3">
      <c r="A81" s="17" t="s">
        <v>38</v>
      </c>
      <c r="B81" s="12">
        <v>42460</v>
      </c>
      <c r="C81" s="12">
        <v>42825</v>
      </c>
      <c r="D81" s="12">
        <v>43190</v>
      </c>
      <c r="E81" s="12">
        <v>43555</v>
      </c>
      <c r="F81" s="12">
        <v>43921</v>
      </c>
      <c r="G81" s="12">
        <v>44286</v>
      </c>
      <c r="H81" s="12">
        <v>44651</v>
      </c>
      <c r="I81" s="12">
        <v>45016</v>
      </c>
      <c r="J81" s="12">
        <v>45382</v>
      </c>
      <c r="K81" s="12">
        <v>45747</v>
      </c>
    </row>
    <row r="82" spans="1:11" s="1" customFormat="1" x14ac:dyDescent="0.3">
      <c r="A82" s="6" t="s">
        <v>32</v>
      </c>
      <c r="B82">
        <v>1740.81</v>
      </c>
      <c r="C82">
        <v>2381.7600000000002</v>
      </c>
      <c r="D82">
        <v>1462.76</v>
      </c>
      <c r="E82">
        <v>1691.15</v>
      </c>
      <c r="F82">
        <v>3068.45</v>
      </c>
      <c r="G82">
        <v>3755.2</v>
      </c>
      <c r="H82">
        <v>3325.9</v>
      </c>
      <c r="I82">
        <v>3237.65</v>
      </c>
      <c r="J82">
        <v>4133.91</v>
      </c>
      <c r="K82">
        <v>5004.9799999999996</v>
      </c>
    </row>
    <row r="83" spans="1:11" s="6" customFormat="1" x14ac:dyDescent="0.3">
      <c r="A83" s="6" t="s">
        <v>33</v>
      </c>
      <c r="B83">
        <v>-4532.5600000000004</v>
      </c>
      <c r="C83">
        <v>-1303.8800000000001</v>
      </c>
      <c r="D83">
        <v>-834.17</v>
      </c>
      <c r="E83">
        <v>-1687.53</v>
      </c>
      <c r="F83">
        <v>114.39</v>
      </c>
      <c r="G83">
        <v>-2374.39</v>
      </c>
      <c r="H83">
        <v>-1858.43</v>
      </c>
      <c r="I83">
        <v>-2376.14</v>
      </c>
      <c r="J83">
        <v>-2982.47</v>
      </c>
      <c r="K83">
        <v>-3681.88</v>
      </c>
    </row>
    <row r="84" spans="1:11" s="6" customFormat="1" x14ac:dyDescent="0.3">
      <c r="A84" s="6" t="s">
        <v>34</v>
      </c>
      <c r="B84">
        <v>3104.06</v>
      </c>
      <c r="C84">
        <v>-1325.68</v>
      </c>
      <c r="D84">
        <v>-385.48</v>
      </c>
      <c r="E84">
        <v>-348.72</v>
      </c>
      <c r="F84">
        <v>-2948.82</v>
      </c>
      <c r="G84">
        <v>-1239.51</v>
      </c>
      <c r="H84">
        <v>-1599.79</v>
      </c>
      <c r="I84">
        <v>-958.29</v>
      </c>
      <c r="J84">
        <v>-1200.43</v>
      </c>
      <c r="K84">
        <v>-1292.79</v>
      </c>
    </row>
    <row r="85" spans="1:11" s="1" customFormat="1" x14ac:dyDescent="0.3">
      <c r="A85" s="6" t="s">
        <v>35</v>
      </c>
      <c r="B85">
        <v>312.31</v>
      </c>
      <c r="C85">
        <v>-247.8</v>
      </c>
      <c r="D85">
        <v>243.11</v>
      </c>
      <c r="E85">
        <v>-345.1</v>
      </c>
      <c r="F85">
        <v>234.02</v>
      </c>
      <c r="G85">
        <v>141.30000000000001</v>
      </c>
      <c r="H85">
        <v>-132.32</v>
      </c>
      <c r="I85">
        <v>-96.78</v>
      </c>
      <c r="J85">
        <v>-48.99</v>
      </c>
      <c r="K85">
        <v>30.31</v>
      </c>
    </row>
    <row r="86" spans="1:11" x14ac:dyDescent="0.3">
      <c r="A86" s="6"/>
    </row>
    <row r="87" spans="1:11" x14ac:dyDescent="0.3">
      <c r="A87" s="6"/>
    </row>
    <row r="88" spans="1:11" x14ac:dyDescent="0.3">
      <c r="A88" s="6"/>
    </row>
    <row r="89" spans="1:11" x14ac:dyDescent="0.3">
      <c r="A89" s="6"/>
    </row>
    <row r="90" spans="1:11" s="1" customFormat="1" x14ac:dyDescent="0.3">
      <c r="A90" s="1" t="s">
        <v>68</v>
      </c>
      <c r="B90">
        <v>511.95</v>
      </c>
      <c r="C90">
        <v>592.95000000000005</v>
      </c>
      <c r="D90">
        <v>545.45000000000005</v>
      </c>
      <c r="E90">
        <v>528.9</v>
      </c>
      <c r="F90">
        <v>422.85</v>
      </c>
      <c r="G90">
        <v>815.1</v>
      </c>
      <c r="H90">
        <v>1018.05</v>
      </c>
      <c r="I90">
        <v>900.5</v>
      </c>
      <c r="J90">
        <v>1496.95</v>
      </c>
      <c r="K90">
        <v>1442.2</v>
      </c>
    </row>
    <row r="92" spans="1:11" s="1" customFormat="1" x14ac:dyDescent="0.3">
      <c r="A92" s="1" t="s">
        <v>67</v>
      </c>
    </row>
    <row r="93" spans="1:11" x14ac:dyDescent="0.3">
      <c r="A93" s="4" t="s">
        <v>80</v>
      </c>
      <c r="B93" s="19">
        <v>80.34</v>
      </c>
      <c r="C93" s="19">
        <v>80.45</v>
      </c>
      <c r="D93" s="19">
        <v>80.510000000000005</v>
      </c>
      <c r="E93" s="19">
        <v>80.569999999999993</v>
      </c>
      <c r="F93" s="19">
        <v>80.62</v>
      </c>
      <c r="G93" s="19">
        <v>80.650000000000006</v>
      </c>
      <c r="H93" s="19">
        <v>80.680000000000007</v>
      </c>
      <c r="I93" s="19">
        <v>80.72</v>
      </c>
      <c r="J93" s="19">
        <v>80.739999999999995</v>
      </c>
      <c r="K93" s="19">
        <v>80.760000000000005</v>
      </c>
    </row>
  </sheetData>
  <mergeCells count="2">
    <mergeCell ref="E1:K1"/>
    <mergeCell ref="E2:K2"/>
  </mergeCells>
  <conditionalFormatting sqref="E1:K1">
    <cfRule type="cellIs" dxfId="0" priority="1" operator="notEqual">
      <formula>""</formula>
    </cfRule>
  </conditionalFormatting>
  <hyperlinks>
    <hyperlink ref="E1:K1" r:id="rId1" display="https://www.screener.in/excel/" xr:uid="{00000000-0004-0000-0500-000000000000}"/>
  </hyperlinks>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94832-F92D-460C-A96E-6029CD731CF3}">
  <sheetPr>
    <pageSetUpPr fitToPage="1"/>
  </sheetPr>
  <dimension ref="A2:Y76"/>
  <sheetViews>
    <sheetView showGridLines="0" tabSelected="1" zoomScale="94" zoomScaleNormal="100" workbookViewId="0">
      <selection activeCell="G16" sqref="G16"/>
    </sheetView>
  </sheetViews>
  <sheetFormatPr defaultRowHeight="14.4" x14ac:dyDescent="0.3"/>
  <cols>
    <col min="1" max="1" width="2.33203125" style="35" customWidth="1"/>
    <col min="2" max="2" width="33.44140625" style="35" customWidth="1"/>
    <col min="3" max="3" width="16.21875" style="35" bestFit="1" customWidth="1"/>
    <col min="4" max="13" width="11.21875" style="35" customWidth="1"/>
    <col min="14" max="14" width="8.88671875" style="35"/>
    <col min="15" max="15" width="12.88671875" style="35" customWidth="1"/>
    <col min="16" max="16" width="15.33203125" style="35" customWidth="1"/>
    <col min="17" max="17" width="11" style="35" customWidth="1"/>
    <col min="18" max="19" width="8.88671875" style="35"/>
    <col min="20" max="20" width="17.5546875" style="35" bestFit="1" customWidth="1"/>
    <col min="21" max="21" width="6.88671875" style="35" bestFit="1" customWidth="1"/>
    <col min="22" max="22" width="12" style="35" bestFit="1" customWidth="1"/>
    <col min="23" max="25" width="9" style="35" bestFit="1" customWidth="1"/>
    <col min="26" max="16384" width="8.88671875" style="35"/>
  </cols>
  <sheetData>
    <row r="2" spans="1:17" ht="23.4" x14ac:dyDescent="0.45">
      <c r="B2" s="187" t="s">
        <v>89</v>
      </c>
      <c r="C2" s="187"/>
      <c r="D2" s="187"/>
      <c r="E2" s="187"/>
      <c r="F2" s="187"/>
      <c r="G2" s="187"/>
      <c r="H2" s="187"/>
      <c r="I2" s="187"/>
      <c r="J2" s="187"/>
      <c r="K2" s="187"/>
      <c r="L2" s="187"/>
      <c r="M2" s="187"/>
      <c r="N2" s="187"/>
      <c r="O2" s="187"/>
      <c r="P2" s="187"/>
      <c r="Q2" s="187"/>
    </row>
    <row r="3" spans="1:17" ht="6.6" customHeight="1" x14ac:dyDescent="0.3"/>
    <row r="4" spans="1:17" ht="21" x14ac:dyDescent="0.4">
      <c r="B4" s="118" t="s">
        <v>87</v>
      </c>
    </row>
    <row r="5" spans="1:17" x14ac:dyDescent="0.3">
      <c r="B5" s="119" t="s">
        <v>88</v>
      </c>
    </row>
    <row r="6" spans="1:17" ht="15" thickBot="1" x14ac:dyDescent="0.35">
      <c r="B6" s="120"/>
      <c r="C6" s="120"/>
      <c r="D6" s="120"/>
      <c r="E6" s="120"/>
      <c r="F6" s="120"/>
      <c r="G6" s="120"/>
      <c r="H6" s="120"/>
      <c r="I6" s="120"/>
      <c r="J6" s="120"/>
      <c r="K6" s="120"/>
      <c r="L6" s="120"/>
      <c r="M6" s="120"/>
      <c r="N6" s="120"/>
      <c r="O6" s="120"/>
      <c r="P6" s="120"/>
      <c r="Q6" s="120"/>
    </row>
    <row r="7" spans="1:17" ht="15" thickTop="1" x14ac:dyDescent="0.3"/>
    <row r="8" spans="1:17" x14ac:dyDescent="0.3">
      <c r="A8" s="35" t="s">
        <v>99</v>
      </c>
      <c r="B8" s="30" t="s">
        <v>90</v>
      </c>
      <c r="C8" s="85" t="s">
        <v>94</v>
      </c>
    </row>
    <row r="9" spans="1:17" x14ac:dyDescent="0.3">
      <c r="B9" s="27"/>
      <c r="C9" s="28"/>
    </row>
    <row r="10" spans="1:17" x14ac:dyDescent="0.3">
      <c r="B10" s="188" t="s">
        <v>91</v>
      </c>
      <c r="C10" s="188"/>
    </row>
    <row r="11" spans="1:17" x14ac:dyDescent="0.3">
      <c r="B11" s="29" t="s">
        <v>92</v>
      </c>
      <c r="C11" s="182">
        <v>0.05</v>
      </c>
    </row>
    <row r="12" spans="1:17" x14ac:dyDescent="0.3">
      <c r="B12" s="29" t="s">
        <v>93</v>
      </c>
      <c r="C12" s="147">
        <f>Q33</f>
        <v>0.12169058959859941</v>
      </c>
    </row>
    <row r="14" spans="1:17" x14ac:dyDescent="0.3">
      <c r="B14" s="31" t="s">
        <v>95</v>
      </c>
    </row>
    <row r="15" spans="1:17" x14ac:dyDescent="0.3">
      <c r="A15" s="35" t="s">
        <v>99</v>
      </c>
      <c r="B15" s="79"/>
      <c r="C15" s="80" t="s">
        <v>96</v>
      </c>
      <c r="D15" s="189" t="s">
        <v>97</v>
      </c>
      <c r="E15" s="190"/>
      <c r="F15" s="190"/>
      <c r="G15" s="190"/>
      <c r="H15" s="190"/>
      <c r="I15" s="190"/>
      <c r="J15" s="190"/>
      <c r="K15" s="190"/>
      <c r="L15" s="190"/>
      <c r="M15" s="191"/>
      <c r="O15" s="84" t="s">
        <v>136</v>
      </c>
      <c r="P15" s="84"/>
      <c r="Q15" s="84"/>
    </row>
    <row r="16" spans="1:17" x14ac:dyDescent="0.3">
      <c r="B16" s="81" t="s">
        <v>98</v>
      </c>
      <c r="C16" s="82">
        <v>45741</v>
      </c>
      <c r="D16" s="32">
        <v>46106</v>
      </c>
      <c r="E16" s="33">
        <v>46471</v>
      </c>
      <c r="F16" s="33">
        <v>46836</v>
      </c>
      <c r="G16" s="33">
        <v>47201</v>
      </c>
      <c r="H16" s="33">
        <v>47566</v>
      </c>
      <c r="I16" s="33">
        <v>47931</v>
      </c>
      <c r="J16" s="33">
        <v>48296</v>
      </c>
      <c r="K16" s="33">
        <v>48661</v>
      </c>
      <c r="L16" s="33">
        <v>49026</v>
      </c>
      <c r="M16" s="34">
        <v>49391</v>
      </c>
      <c r="O16" s="72" t="s">
        <v>137</v>
      </c>
      <c r="P16" s="39"/>
      <c r="Q16" s="73"/>
    </row>
    <row r="17" spans="2:25" x14ac:dyDescent="0.3">
      <c r="O17" s="48" t="s">
        <v>138</v>
      </c>
      <c r="Q17" s="74">
        <v>6.5299999999999997E-2</v>
      </c>
    </row>
    <row r="18" spans="2:25" x14ac:dyDescent="0.3">
      <c r="B18" s="90" t="s">
        <v>100</v>
      </c>
      <c r="C18" s="121">
        <v>0</v>
      </c>
      <c r="D18" s="122">
        <v>0.5</v>
      </c>
      <c r="E18" s="90">
        <f t="shared" ref="E18:M18" si="0">D18+1</f>
        <v>1.5</v>
      </c>
      <c r="F18" s="90">
        <f t="shared" si="0"/>
        <v>2.5</v>
      </c>
      <c r="G18" s="90">
        <f t="shared" si="0"/>
        <v>3.5</v>
      </c>
      <c r="H18" s="90">
        <f t="shared" si="0"/>
        <v>4.5</v>
      </c>
      <c r="I18" s="90">
        <f t="shared" si="0"/>
        <v>5.5</v>
      </c>
      <c r="J18" s="90">
        <f t="shared" si="0"/>
        <v>6.5</v>
      </c>
      <c r="K18" s="90">
        <f t="shared" si="0"/>
        <v>7.5</v>
      </c>
      <c r="L18" s="90">
        <f t="shared" si="0"/>
        <v>8.5</v>
      </c>
      <c r="M18" s="90">
        <f t="shared" si="0"/>
        <v>9.5</v>
      </c>
      <c r="O18" s="48" t="s">
        <v>139</v>
      </c>
      <c r="Q18" s="74">
        <v>7.2599999999999998E-2</v>
      </c>
    </row>
    <row r="19" spans="2:25" x14ac:dyDescent="0.3">
      <c r="B19" s="179" t="s">
        <v>101</v>
      </c>
      <c r="C19" s="177"/>
      <c r="D19" s="180">
        <v>0.09</v>
      </c>
      <c r="E19" s="180">
        <v>0.14000000000000001</v>
      </c>
      <c r="F19" s="180">
        <v>0.13</v>
      </c>
      <c r="G19" s="180">
        <v>0.12</v>
      </c>
      <c r="H19" s="180">
        <v>0.12</v>
      </c>
      <c r="I19" s="180">
        <v>0.11</v>
      </c>
      <c r="J19" s="180">
        <v>0.1</v>
      </c>
      <c r="K19" s="180">
        <v>0.09</v>
      </c>
      <c r="L19" s="180">
        <v>0.08</v>
      </c>
      <c r="M19" s="180">
        <v>0.06</v>
      </c>
      <c r="O19" s="48" t="s">
        <v>140</v>
      </c>
      <c r="Q19" s="86">
        <v>0.78</v>
      </c>
    </row>
    <row r="20" spans="2:25" x14ac:dyDescent="0.3">
      <c r="B20" s="35" t="s">
        <v>102</v>
      </c>
      <c r="C20" s="36">
        <f>'Profit &amp; Loss'!K4</f>
        <v>27547.62</v>
      </c>
      <c r="D20" s="36">
        <f t="shared" ref="D20:M20" si="1">C20*(1+D19)</f>
        <v>30026.9058</v>
      </c>
      <c r="E20" s="36">
        <f t="shared" si="1"/>
        <v>34230.672612000002</v>
      </c>
      <c r="F20" s="36">
        <f t="shared" si="1"/>
        <v>38680.66005156</v>
      </c>
      <c r="G20" s="36">
        <f t="shared" si="1"/>
        <v>43322.339257747204</v>
      </c>
      <c r="H20" s="36">
        <f t="shared" si="1"/>
        <v>48521.019968676876</v>
      </c>
      <c r="I20" s="36">
        <f t="shared" si="1"/>
        <v>53858.332165231339</v>
      </c>
      <c r="J20" s="36">
        <f t="shared" si="1"/>
        <v>59244.165381754479</v>
      </c>
      <c r="K20" s="36">
        <f t="shared" si="1"/>
        <v>64576.140266112387</v>
      </c>
      <c r="L20" s="36">
        <f t="shared" si="1"/>
        <v>69742.231487401383</v>
      </c>
      <c r="M20" s="36">
        <f t="shared" si="1"/>
        <v>73926.765376645475</v>
      </c>
      <c r="O20" s="87" t="s">
        <v>141</v>
      </c>
      <c r="P20" s="88"/>
      <c r="Q20" s="167">
        <f>Q17+Q18*Q19</f>
        <v>0.12192799999999999</v>
      </c>
    </row>
    <row r="21" spans="2:25" x14ac:dyDescent="0.3">
      <c r="B21" s="35" t="s">
        <v>83</v>
      </c>
      <c r="C21" s="36">
        <f>'Profit &amp; Loss'!K8</f>
        <v>7127.8999999999978</v>
      </c>
      <c r="D21" s="36">
        <f>D20*24.5%</f>
        <v>7356.5919210000002</v>
      </c>
      <c r="E21" s="36">
        <f>E20*26%</f>
        <v>8899.97487912</v>
      </c>
      <c r="F21" s="36">
        <f>F20*26.5%</f>
        <v>10250.374913663401</v>
      </c>
      <c r="G21" s="36">
        <f>G20*27%</f>
        <v>11697.031599591746</v>
      </c>
      <c r="H21" s="36">
        <f>H20*27%</f>
        <v>13100.675391542758</v>
      </c>
      <c r="I21" s="36">
        <f>I20*26.8%</f>
        <v>14434.033020282001</v>
      </c>
      <c r="J21" s="36">
        <f>J20*26.6%</f>
        <v>15758.947991546693</v>
      </c>
      <c r="K21" s="36">
        <f>K20*26.4%</f>
        <v>17048.101030253671</v>
      </c>
      <c r="L21" s="36">
        <f>L20*26.2%</f>
        <v>18272.464649699163</v>
      </c>
      <c r="M21" s="36">
        <f>M20*26%</f>
        <v>19220.958997927824</v>
      </c>
      <c r="O21" s="48" t="s">
        <v>150</v>
      </c>
      <c r="Q21" s="52"/>
    </row>
    <row r="22" spans="2:25" x14ac:dyDescent="0.3">
      <c r="B22" s="35" t="s">
        <v>103</v>
      </c>
      <c r="C22" s="37">
        <f>'Profit &amp; Loss'!K12</f>
        <v>1106.95</v>
      </c>
      <c r="D22" s="37">
        <f>D20*4%</f>
        <v>1201.0762320000001</v>
      </c>
      <c r="E22" s="37">
        <f t="shared" ref="E22:M22" si="2">E20*4%</f>
        <v>1369.22690448</v>
      </c>
      <c r="F22" s="37">
        <f t="shared" si="2"/>
        <v>1547.2264020624</v>
      </c>
      <c r="G22" s="37">
        <f t="shared" si="2"/>
        <v>1732.8935703098882</v>
      </c>
      <c r="H22" s="37">
        <f t="shared" si="2"/>
        <v>1940.840798747075</v>
      </c>
      <c r="I22" s="37">
        <f t="shared" si="2"/>
        <v>2154.3332866092537</v>
      </c>
      <c r="J22" s="37">
        <f t="shared" si="2"/>
        <v>2369.766615270179</v>
      </c>
      <c r="K22" s="37">
        <f t="shared" si="2"/>
        <v>2583.0456106444954</v>
      </c>
      <c r="L22" s="37">
        <f t="shared" si="2"/>
        <v>2789.6892594960555</v>
      </c>
      <c r="M22" s="37">
        <f t="shared" si="2"/>
        <v>2957.0706150658189</v>
      </c>
      <c r="O22" s="48" t="s">
        <v>142</v>
      </c>
      <c r="Q22" s="123">
        <f>Q17+R22</f>
        <v>6.9800000000000001E-2</v>
      </c>
      <c r="R22" s="71">
        <v>4.4999999999999997E-3</v>
      </c>
      <c r="T22" s="124" t="s">
        <v>154</v>
      </c>
      <c r="U22" s="124">
        <v>2021</v>
      </c>
      <c r="V22" s="124">
        <v>2022</v>
      </c>
      <c r="W22" s="124">
        <v>2023</v>
      </c>
      <c r="X22" s="124">
        <v>2024</v>
      </c>
      <c r="Y22" s="124">
        <v>2025</v>
      </c>
    </row>
    <row r="23" spans="2:25" x14ac:dyDescent="0.3">
      <c r="B23" s="38" t="s">
        <v>85</v>
      </c>
      <c r="C23" s="148">
        <f t="shared" ref="C23:M23" si="3">C21-C22</f>
        <v>6020.949999999998</v>
      </c>
      <c r="D23" s="148">
        <f t="shared" si="3"/>
        <v>6155.5156889999998</v>
      </c>
      <c r="E23" s="148">
        <f t="shared" si="3"/>
        <v>7530.7479746400004</v>
      </c>
      <c r="F23" s="148">
        <f t="shared" si="3"/>
        <v>8703.1485116010008</v>
      </c>
      <c r="G23" s="148">
        <f t="shared" si="3"/>
        <v>9964.1380292818576</v>
      </c>
      <c r="H23" s="148">
        <f t="shared" si="3"/>
        <v>11159.834592795683</v>
      </c>
      <c r="I23" s="148">
        <f t="shared" si="3"/>
        <v>12279.699733672747</v>
      </c>
      <c r="J23" s="148">
        <f t="shared" si="3"/>
        <v>13389.181376276514</v>
      </c>
      <c r="K23" s="148">
        <f t="shared" si="3"/>
        <v>14465.055419609176</v>
      </c>
      <c r="L23" s="148">
        <f t="shared" si="3"/>
        <v>15482.775390203107</v>
      </c>
      <c r="M23" s="148">
        <f t="shared" si="3"/>
        <v>16263.888382862006</v>
      </c>
      <c r="O23" s="48" t="s">
        <v>143</v>
      </c>
      <c r="Q23" s="181">
        <v>0.25</v>
      </c>
      <c r="T23" s="35" t="s">
        <v>155</v>
      </c>
      <c r="U23" s="186">
        <v>791</v>
      </c>
      <c r="V23" s="186">
        <v>681</v>
      </c>
      <c r="W23" s="186">
        <v>1136</v>
      </c>
      <c r="X23" s="186">
        <v>1315</v>
      </c>
      <c r="Y23" s="186">
        <v>1515</v>
      </c>
    </row>
    <row r="24" spans="2:25" x14ac:dyDescent="0.3">
      <c r="B24" s="39" t="s">
        <v>104</v>
      </c>
      <c r="C24" s="37">
        <f t="shared" ref="C24:M24" si="4">C23*25%</f>
        <v>1505.2374999999995</v>
      </c>
      <c r="D24" s="37">
        <f t="shared" si="4"/>
        <v>1538.87892225</v>
      </c>
      <c r="E24" s="37">
        <f t="shared" si="4"/>
        <v>1882.6869936600001</v>
      </c>
      <c r="F24" s="37">
        <f t="shared" si="4"/>
        <v>2175.7871279002502</v>
      </c>
      <c r="G24" s="37">
        <f t="shared" si="4"/>
        <v>2491.0345073204644</v>
      </c>
      <c r="H24" s="37">
        <f t="shared" si="4"/>
        <v>2789.9586481989209</v>
      </c>
      <c r="I24" s="37">
        <f t="shared" si="4"/>
        <v>3069.9249334181868</v>
      </c>
      <c r="J24" s="37">
        <f t="shared" si="4"/>
        <v>3347.2953440691285</v>
      </c>
      <c r="K24" s="37">
        <f t="shared" si="4"/>
        <v>3616.263854902294</v>
      </c>
      <c r="L24" s="37">
        <f t="shared" si="4"/>
        <v>3870.6938475507768</v>
      </c>
      <c r="M24" s="37">
        <f t="shared" si="4"/>
        <v>4065.9720957155014</v>
      </c>
      <c r="O24" s="75" t="s">
        <v>144</v>
      </c>
      <c r="P24" s="42"/>
      <c r="Q24" s="166">
        <f>Q22*(1-Q23)</f>
        <v>5.2350000000000001E-2</v>
      </c>
      <c r="T24" s="35" t="s">
        <v>101</v>
      </c>
      <c r="V24" s="125">
        <f>V23/U23-1</f>
        <v>-0.1390644753476612</v>
      </c>
      <c r="W24" s="125">
        <f t="shared" ref="W24:Y24" si="5">W23/V23-1</f>
        <v>0.66813509544787086</v>
      </c>
      <c r="X24" s="125">
        <f t="shared" si="5"/>
        <v>0.15757042253521125</v>
      </c>
      <c r="Y24" s="125">
        <f t="shared" si="5"/>
        <v>0.15209125475285168</v>
      </c>
    </row>
    <row r="25" spans="2:25" x14ac:dyDescent="0.3">
      <c r="B25" s="35" t="s">
        <v>151</v>
      </c>
      <c r="C25" s="148">
        <f t="shared" ref="C25:M25" si="6">C23-C24</f>
        <v>4515.7124999999987</v>
      </c>
      <c r="D25" s="148">
        <f t="shared" si="6"/>
        <v>4616.6367667499999</v>
      </c>
      <c r="E25" s="148">
        <f t="shared" si="6"/>
        <v>5648.0609809800007</v>
      </c>
      <c r="F25" s="148">
        <f t="shared" si="6"/>
        <v>6527.3613837007506</v>
      </c>
      <c r="G25" s="148">
        <f t="shared" si="6"/>
        <v>7473.1035219613932</v>
      </c>
      <c r="H25" s="148">
        <f t="shared" si="6"/>
        <v>8369.8759445967626</v>
      </c>
      <c r="I25" s="148">
        <f t="shared" si="6"/>
        <v>9209.7748002545595</v>
      </c>
      <c r="J25" s="148">
        <f t="shared" si="6"/>
        <v>10041.886032207385</v>
      </c>
      <c r="K25" s="148">
        <f t="shared" si="6"/>
        <v>10848.791564706882</v>
      </c>
      <c r="L25" s="148">
        <f t="shared" si="6"/>
        <v>11612.08154265233</v>
      </c>
      <c r="M25" s="148">
        <f t="shared" si="6"/>
        <v>12197.916287146505</v>
      </c>
      <c r="O25" s="48"/>
      <c r="Q25" s="52" t="s">
        <v>150</v>
      </c>
      <c r="T25" s="126" t="s">
        <v>156</v>
      </c>
      <c r="U25" s="127">
        <f>U23/'Profit &amp; Loss'!G4</f>
        <v>4.1284808286607383E-2</v>
      </c>
      <c r="V25" s="127">
        <f>V23/'Profit &amp; Loss'!H4</f>
        <v>3.1291152920461654E-2</v>
      </c>
      <c r="W25" s="127">
        <f>W23/'Profit &amp; Loss'!I4</f>
        <v>4.9927218772634258E-2</v>
      </c>
      <c r="X25" s="127">
        <f>X23/'Profit &amp; Loss'!J4</f>
        <v>5.1020230006180625E-2</v>
      </c>
      <c r="Y25" s="127">
        <f>Y23/'Profit &amp; Loss'!K4</f>
        <v>5.4995676577504704E-2</v>
      </c>
    </row>
    <row r="26" spans="2:25" x14ac:dyDescent="0.3">
      <c r="B26" s="39" t="s">
        <v>105</v>
      </c>
      <c r="C26" s="37">
        <f>C22</f>
        <v>1106.95</v>
      </c>
      <c r="D26" s="37">
        <f t="shared" ref="D26:M26" si="7">D22</f>
        <v>1201.0762320000001</v>
      </c>
      <c r="E26" s="37">
        <f t="shared" si="7"/>
        <v>1369.22690448</v>
      </c>
      <c r="F26" s="37">
        <f t="shared" si="7"/>
        <v>1547.2264020624</v>
      </c>
      <c r="G26" s="37">
        <f t="shared" si="7"/>
        <v>1732.8935703098882</v>
      </c>
      <c r="H26" s="37">
        <f t="shared" si="7"/>
        <v>1940.840798747075</v>
      </c>
      <c r="I26" s="37">
        <f t="shared" si="7"/>
        <v>2154.3332866092537</v>
      </c>
      <c r="J26" s="37">
        <f t="shared" si="7"/>
        <v>2369.766615270179</v>
      </c>
      <c r="K26" s="37">
        <f t="shared" si="7"/>
        <v>2583.0456106444954</v>
      </c>
      <c r="L26" s="37">
        <f t="shared" si="7"/>
        <v>2789.6892594960555</v>
      </c>
      <c r="M26" s="37">
        <f t="shared" si="7"/>
        <v>2957.0706150658189</v>
      </c>
      <c r="O26" s="48" t="s">
        <v>145</v>
      </c>
      <c r="Q26" s="89">
        <f>'Data Sheet'!B9</f>
        <v>127982.39999999999</v>
      </c>
    </row>
    <row r="27" spans="2:25" x14ac:dyDescent="0.3">
      <c r="B27" s="40" t="s">
        <v>152</v>
      </c>
      <c r="C27" s="149">
        <f t="shared" ref="C27:M27" si="8">C25+C26</f>
        <v>5622.6624999999985</v>
      </c>
      <c r="D27" s="149">
        <f t="shared" si="8"/>
        <v>5817.7129987500002</v>
      </c>
      <c r="E27" s="149">
        <f t="shared" si="8"/>
        <v>7017.2878854600003</v>
      </c>
      <c r="F27" s="149">
        <f t="shared" si="8"/>
        <v>8074.5877857631504</v>
      </c>
      <c r="G27" s="149">
        <f t="shared" si="8"/>
        <v>9205.9970922712819</v>
      </c>
      <c r="H27" s="149">
        <f t="shared" si="8"/>
        <v>10310.716743343837</v>
      </c>
      <c r="I27" s="149">
        <f t="shared" si="8"/>
        <v>11364.108086863813</v>
      </c>
      <c r="J27" s="149">
        <f t="shared" si="8"/>
        <v>12411.652647477564</v>
      </c>
      <c r="K27" s="149">
        <f t="shared" si="8"/>
        <v>13431.837175351378</v>
      </c>
      <c r="L27" s="149">
        <f t="shared" si="8"/>
        <v>14401.770802148385</v>
      </c>
      <c r="M27" s="149">
        <f t="shared" si="8"/>
        <v>15154.986902212324</v>
      </c>
      <c r="O27" s="48" t="s">
        <v>146</v>
      </c>
      <c r="Q27" s="51">
        <f>'Balance Sheet'!K6</f>
        <v>438.19</v>
      </c>
    </row>
    <row r="28" spans="2:25" x14ac:dyDescent="0.3">
      <c r="B28" s="35" t="s">
        <v>106</v>
      </c>
      <c r="C28" s="128" t="s">
        <v>150</v>
      </c>
      <c r="D28" s="36"/>
      <c r="E28" s="36"/>
      <c r="F28" s="36"/>
      <c r="G28" s="36"/>
      <c r="H28" s="36"/>
      <c r="I28" s="36"/>
      <c r="J28" s="36"/>
      <c r="K28" s="36"/>
      <c r="L28" s="36"/>
      <c r="M28" s="36"/>
      <c r="O28" s="48" t="s">
        <v>147</v>
      </c>
      <c r="Q28" s="129">
        <f>SUM(Q26:Q27)</f>
        <v>128420.59</v>
      </c>
    </row>
    <row r="29" spans="2:25" x14ac:dyDescent="0.3">
      <c r="B29" s="41" t="s">
        <v>107</v>
      </c>
      <c r="C29" s="128">
        <f t="shared" ref="C29:M29" si="9">H72</f>
        <v>776</v>
      </c>
      <c r="D29" s="128">
        <f t="shared" si="9"/>
        <v>624.91655740399619</v>
      </c>
      <c r="E29" s="128">
        <f t="shared" si="9"/>
        <v>1251.0283180365604</v>
      </c>
      <c r="F29" s="128">
        <f t="shared" si="9"/>
        <v>1324.3028338072709</v>
      </c>
      <c r="G29" s="128">
        <f t="shared" si="9"/>
        <v>1381.3497251097397</v>
      </c>
      <c r="H29" s="128">
        <f t="shared" si="9"/>
        <v>1547.1116921229113</v>
      </c>
      <c r="I29" s="128">
        <f t="shared" si="9"/>
        <v>1588.368003912854</v>
      </c>
      <c r="J29" s="128">
        <f t="shared" si="9"/>
        <v>1602.8077130393358</v>
      </c>
      <c r="K29" s="128">
        <f t="shared" si="9"/>
        <v>1586.7796359089407</v>
      </c>
      <c r="L29" s="128">
        <f t="shared" si="9"/>
        <v>1537.4131583473318</v>
      </c>
      <c r="M29" s="128">
        <f t="shared" si="9"/>
        <v>1245.3046582613388</v>
      </c>
      <c r="O29" s="48"/>
      <c r="Q29" s="52"/>
    </row>
    <row r="30" spans="2:25" x14ac:dyDescent="0.3">
      <c r="B30" s="41" t="s">
        <v>108</v>
      </c>
      <c r="C30" s="37">
        <f>Y23</f>
        <v>1515</v>
      </c>
      <c r="D30" s="130">
        <f>D20*5.5%</f>
        <v>1651.4798190000001</v>
      </c>
      <c r="E30" s="130">
        <f>E20*5.5%</f>
        <v>1882.6869936600001</v>
      </c>
      <c r="F30" s="130">
        <f>F20*5.5%</f>
        <v>2127.4363028358002</v>
      </c>
      <c r="G30" s="130">
        <f>G20*5.2%</f>
        <v>2252.7616414028548</v>
      </c>
      <c r="H30" s="130">
        <f>H20*5%</f>
        <v>2426.0509984338437</v>
      </c>
      <c r="I30" s="130">
        <f>I20*4.8%</f>
        <v>2585.1999439311044</v>
      </c>
      <c r="J30" s="130">
        <f>J20*4.6%</f>
        <v>2725.2316075607059</v>
      </c>
      <c r="K30" s="130">
        <f>K20*4.5%</f>
        <v>2905.9263119750572</v>
      </c>
      <c r="L30" s="130">
        <f>L20*4.5%</f>
        <v>3138.4004169330619</v>
      </c>
      <c r="M30" s="130">
        <f>M20*4.5%</f>
        <v>3326.7044419490462</v>
      </c>
      <c r="O30" s="48" t="s">
        <v>148</v>
      </c>
      <c r="Q30" s="168">
        <f>Q26/Q28</f>
        <v>0.99658785246197668</v>
      </c>
    </row>
    <row r="31" spans="2:25" x14ac:dyDescent="0.3">
      <c r="B31" s="42" t="s">
        <v>109</v>
      </c>
      <c r="C31" s="149">
        <f t="shared" ref="C31:M31" si="10">C27-C29-C30</f>
        <v>3331.6624999999985</v>
      </c>
      <c r="D31" s="149">
        <f t="shared" si="10"/>
        <v>3541.3166223460039</v>
      </c>
      <c r="E31" s="149">
        <f t="shared" si="10"/>
        <v>3883.5725737634398</v>
      </c>
      <c r="F31" s="149">
        <f t="shared" si="10"/>
        <v>4622.8486491200792</v>
      </c>
      <c r="G31" s="149">
        <f t="shared" si="10"/>
        <v>5571.8857257586878</v>
      </c>
      <c r="H31" s="149">
        <f t="shared" si="10"/>
        <v>6337.5540527870817</v>
      </c>
      <c r="I31" s="149">
        <f t="shared" si="10"/>
        <v>7190.5401390198549</v>
      </c>
      <c r="J31" s="149">
        <f t="shared" si="10"/>
        <v>8083.613326877522</v>
      </c>
      <c r="K31" s="149">
        <f t="shared" si="10"/>
        <v>8939.1312274673801</v>
      </c>
      <c r="L31" s="149">
        <f t="shared" si="10"/>
        <v>9725.9572268679913</v>
      </c>
      <c r="M31" s="149">
        <f t="shared" si="10"/>
        <v>10582.977802001938</v>
      </c>
      <c r="O31" s="48" t="s">
        <v>149</v>
      </c>
      <c r="Q31" s="168">
        <f>Q27/Q28</f>
        <v>3.4121475380233029E-3</v>
      </c>
    </row>
    <row r="32" spans="2:25" ht="15" thickBot="1" x14ac:dyDescent="0.35">
      <c r="B32" s="43" t="s">
        <v>157</v>
      </c>
      <c r="C32" s="150"/>
      <c r="D32" s="151">
        <f>$C$12</f>
        <v>0.12169058959859941</v>
      </c>
      <c r="E32" s="151">
        <f t="shared" ref="E32:M32" si="11">$C$12</f>
        <v>0.12169058959859941</v>
      </c>
      <c r="F32" s="151">
        <f t="shared" si="11"/>
        <v>0.12169058959859941</v>
      </c>
      <c r="G32" s="151">
        <f t="shared" si="11"/>
        <v>0.12169058959859941</v>
      </c>
      <c r="H32" s="151">
        <f t="shared" si="11"/>
        <v>0.12169058959859941</v>
      </c>
      <c r="I32" s="151">
        <f t="shared" si="11"/>
        <v>0.12169058959859941</v>
      </c>
      <c r="J32" s="151">
        <f t="shared" si="11"/>
        <v>0.12169058959859941</v>
      </c>
      <c r="K32" s="151">
        <f t="shared" si="11"/>
        <v>0.12169058959859941</v>
      </c>
      <c r="L32" s="151">
        <f t="shared" si="11"/>
        <v>0.12169058959859941</v>
      </c>
      <c r="M32" s="151">
        <f t="shared" si="11"/>
        <v>0.12169058959859941</v>
      </c>
      <c r="O32" s="48"/>
      <c r="Q32" s="52"/>
    </row>
    <row r="33" spans="2:17" ht="15" thickBot="1" x14ac:dyDescent="0.35">
      <c r="B33" s="44" t="s">
        <v>110</v>
      </c>
      <c r="C33" s="152"/>
      <c r="D33" s="153">
        <f>D31/(1+D32)^D18</f>
        <v>3343.7070412481194</v>
      </c>
      <c r="E33" s="153">
        <f t="shared" ref="E33:M33" si="12">E31/(1+E32)^E18</f>
        <v>3269.0518642278298</v>
      </c>
      <c r="F33" s="153">
        <f t="shared" si="12"/>
        <v>3469.1811984127626</v>
      </c>
      <c r="G33" s="153">
        <f t="shared" si="12"/>
        <v>3727.7470356113531</v>
      </c>
      <c r="H33" s="153">
        <f t="shared" si="12"/>
        <v>3780.0089899178211</v>
      </c>
      <c r="I33" s="153">
        <f t="shared" si="12"/>
        <v>3823.4867968109024</v>
      </c>
      <c r="J33" s="153">
        <f t="shared" si="12"/>
        <v>3832.0444205318149</v>
      </c>
      <c r="K33" s="153">
        <f t="shared" si="12"/>
        <v>3777.8720056848915</v>
      </c>
      <c r="L33" s="153">
        <f t="shared" si="12"/>
        <v>3664.470298885019</v>
      </c>
      <c r="M33" s="153">
        <f t="shared" si="12"/>
        <v>3554.7876242969601</v>
      </c>
      <c r="O33" s="76" t="s">
        <v>93</v>
      </c>
      <c r="P33" s="77"/>
      <c r="Q33" s="78">
        <f>Q30*Q20+Q31*Q24</f>
        <v>0.12169058959859941</v>
      </c>
    </row>
    <row r="34" spans="2:17" ht="15" thickTop="1" x14ac:dyDescent="0.3">
      <c r="D34" s="35" t="s">
        <v>150</v>
      </c>
      <c r="Q34" s="35" t="s">
        <v>150</v>
      </c>
    </row>
    <row r="35" spans="2:17" x14ac:dyDescent="0.3">
      <c r="B35" s="45" t="s">
        <v>111</v>
      </c>
      <c r="C35" s="154">
        <f>SUM(D33:M33)</f>
        <v>36242.357275627473</v>
      </c>
    </row>
    <row r="37" spans="2:17" ht="15" thickBot="1" x14ac:dyDescent="0.35">
      <c r="B37" s="192" t="s">
        <v>112</v>
      </c>
      <c r="C37" s="193"/>
      <c r="E37" s="196" t="s">
        <v>163</v>
      </c>
      <c r="F37" s="197"/>
      <c r="G37" s="197"/>
      <c r="H37" s="197"/>
      <c r="I37" s="197"/>
      <c r="J37" s="198"/>
      <c r="O37" s="199" t="s">
        <v>192</v>
      </c>
      <c r="P37" s="200"/>
      <c r="Q37" s="201"/>
    </row>
    <row r="38" spans="2:17" ht="6.6" customHeight="1" x14ac:dyDescent="0.3">
      <c r="B38" s="46"/>
      <c r="C38" s="47"/>
      <c r="E38" s="92"/>
      <c r="F38" s="93"/>
      <c r="G38" s="93"/>
      <c r="H38" s="93"/>
      <c r="I38" s="93"/>
      <c r="J38" s="94"/>
      <c r="O38" s="131"/>
      <c r="Q38" s="132"/>
    </row>
    <row r="39" spans="2:17" ht="15" thickBot="1" x14ac:dyDescent="0.35">
      <c r="B39" s="91" t="s">
        <v>113</v>
      </c>
      <c r="C39" s="133">
        <f>C11</f>
        <v>0.05</v>
      </c>
      <c r="E39" s="102">
        <f>C45</f>
        <v>85401.496329400194</v>
      </c>
      <c r="F39" s="95">
        <v>0.1</v>
      </c>
      <c r="G39" s="95">
        <v>0.115</v>
      </c>
      <c r="H39" s="97">
        <v>0.12169058959859941</v>
      </c>
      <c r="I39" s="96">
        <v>0.125</v>
      </c>
      <c r="J39" s="98">
        <v>0.1275</v>
      </c>
      <c r="O39" s="131" t="s">
        <v>158</v>
      </c>
      <c r="Q39" s="185">
        <f>'Data Sheet'!K70</f>
        <v>807617120</v>
      </c>
    </row>
    <row r="40" spans="2:17" ht="15" thickTop="1" x14ac:dyDescent="0.3">
      <c r="B40" s="48" t="s">
        <v>114</v>
      </c>
      <c r="C40" s="155">
        <f>M31*(1+C39)</f>
        <v>11112.126692102036</v>
      </c>
      <c r="E40" s="99">
        <v>0.04</v>
      </c>
      <c r="F40" s="134">
        <f t="dataTable" ref="F40:J44" dt2D="1" dtr="1" r1="C12" r2="C11"/>
        <v>110814.24180425116</v>
      </c>
      <c r="G40" s="135">
        <v>86780.291004538711</v>
      </c>
      <c r="H40" s="136">
        <v>78972.902086481976</v>
      </c>
      <c r="I40" s="135">
        <v>75578.783796064992</v>
      </c>
      <c r="J40" s="137">
        <v>73190.497903654192</v>
      </c>
      <c r="O40" s="131" t="s">
        <v>162</v>
      </c>
      <c r="Q40" s="184">
        <v>836586</v>
      </c>
    </row>
    <row r="41" spans="2:17" ht="15" thickBot="1" x14ac:dyDescent="0.35">
      <c r="B41" s="48" t="s">
        <v>112</v>
      </c>
      <c r="C41" s="155">
        <f>C40/(C12-C39)</f>
        <v>155001.18989562793</v>
      </c>
      <c r="E41" s="99">
        <v>4.4999999999999998E-2</v>
      </c>
      <c r="F41" s="134">
        <v>117614.56859382371</v>
      </c>
      <c r="G41" s="135">
        <v>90564.235694316681</v>
      </c>
      <c r="H41" s="136">
        <v>81977.636526373302</v>
      </c>
      <c r="I41" s="135">
        <v>78274.637215535215</v>
      </c>
      <c r="J41" s="137">
        <v>75679.73883152043</v>
      </c>
      <c r="O41" s="131" t="s">
        <v>159</v>
      </c>
      <c r="Q41" s="184">
        <v>381837</v>
      </c>
    </row>
    <row r="42" spans="2:17" ht="15" thickBot="1" x14ac:dyDescent="0.35">
      <c r="B42" s="49" t="s">
        <v>115</v>
      </c>
      <c r="C42" s="156">
        <f>C41/(1+C12)^10</f>
        <v>49159.139053772713</v>
      </c>
      <c r="E42" s="100">
        <v>0.05</v>
      </c>
      <c r="F42" s="138">
        <v>125774.96074131082</v>
      </c>
      <c r="G42" s="136">
        <v>94930.325720983572</v>
      </c>
      <c r="H42" s="139">
        <v>85401.496329400194</v>
      </c>
      <c r="I42" s="136">
        <v>81329.937757601496</v>
      </c>
      <c r="J42" s="140">
        <v>78490.172137175861</v>
      </c>
      <c r="O42" s="141" t="s">
        <v>160</v>
      </c>
      <c r="P42" s="142"/>
      <c r="Q42" s="161">
        <f>(SUM(Q39:Q41))/(10000000)</f>
        <v>80.8835543</v>
      </c>
    </row>
    <row r="43" spans="2:17" x14ac:dyDescent="0.3">
      <c r="B43" s="83" t="s">
        <v>116</v>
      </c>
      <c r="C43" s="157">
        <f>C42+C35</f>
        <v>85401.496329400194</v>
      </c>
      <c r="E43" s="99">
        <v>5.5E-2</v>
      </c>
      <c r="F43" s="134">
        <v>135748.77336601721</v>
      </c>
      <c r="G43" s="135">
        <v>100024.09741876159</v>
      </c>
      <c r="H43" s="136">
        <v>89338.750874269128</v>
      </c>
      <c r="I43" s="135">
        <v>84821.709805677208</v>
      </c>
      <c r="J43" s="137">
        <v>81688.251416025145</v>
      </c>
    </row>
    <row r="44" spans="2:17" x14ac:dyDescent="0.3">
      <c r="E44" s="101">
        <v>0.06</v>
      </c>
      <c r="F44" s="143">
        <v>148216.03914690026</v>
      </c>
      <c r="G44" s="144">
        <v>106044.00942522656</v>
      </c>
      <c r="H44" s="145">
        <v>93914.231536036532</v>
      </c>
      <c r="I44" s="144">
        <v>88850.677553456902</v>
      </c>
      <c r="J44" s="146">
        <v>85360.120217666932</v>
      </c>
    </row>
    <row r="45" spans="2:17" x14ac:dyDescent="0.3">
      <c r="B45" s="50" t="s">
        <v>117</v>
      </c>
      <c r="C45" s="158">
        <f>C43</f>
        <v>85401.496329400194</v>
      </c>
    </row>
    <row r="46" spans="2:17" x14ac:dyDescent="0.3">
      <c r="B46" s="48" t="s">
        <v>118</v>
      </c>
      <c r="C46" s="178">
        <v>800</v>
      </c>
      <c r="E46" s="196" t="s">
        <v>164</v>
      </c>
      <c r="F46" s="197"/>
      <c r="G46" s="197"/>
      <c r="H46" s="197"/>
      <c r="I46" s="197"/>
      <c r="J46" s="198"/>
    </row>
    <row r="47" spans="2:17" ht="15" thickBot="1" x14ac:dyDescent="0.35">
      <c r="B47" s="48" t="s">
        <v>119</v>
      </c>
      <c r="C47" s="178">
        <v>7933</v>
      </c>
      <c r="E47" s="102">
        <f>C55</f>
        <v>1157.227784306212</v>
      </c>
      <c r="F47" s="95">
        <v>0.1</v>
      </c>
      <c r="G47" s="96">
        <v>0.115</v>
      </c>
      <c r="H47" s="97">
        <v>0.12169058959859941</v>
      </c>
      <c r="I47" s="96">
        <v>0.125</v>
      </c>
      <c r="J47" s="98">
        <v>0.1275</v>
      </c>
    </row>
    <row r="48" spans="2:17" ht="15" thickTop="1" x14ac:dyDescent="0.3">
      <c r="B48" s="48" t="s">
        <v>120</v>
      </c>
      <c r="C48" s="178">
        <v>438</v>
      </c>
      <c r="E48" s="99">
        <v>0.04</v>
      </c>
      <c r="F48" s="134">
        <f t="dataTable" ref="F48:J52" dt2D="1" dtr="1" r1="C12" r2="C11" ca="1"/>
        <v>1471.4170616541655</v>
      </c>
      <c r="G48" s="135">
        <v>1174.274447092871</v>
      </c>
      <c r="H48" s="136">
        <v>1077.7481632812219</v>
      </c>
      <c r="I48" s="135">
        <v>1035.7851422469573</v>
      </c>
      <c r="J48" s="137">
        <v>1006.2576825169784</v>
      </c>
    </row>
    <row r="49" spans="2:10" ht="15" thickBot="1" x14ac:dyDescent="0.35">
      <c r="B49" s="48" t="s">
        <v>121</v>
      </c>
      <c r="C49" s="183">
        <v>95.8</v>
      </c>
      <c r="E49" s="99">
        <v>4.4999999999999998E-2</v>
      </c>
      <c r="F49" s="134">
        <v>1555.4925804468969</v>
      </c>
      <c r="G49" s="135">
        <v>1221.0570683874691</v>
      </c>
      <c r="H49" s="136">
        <v>1114.8970554867578</v>
      </c>
      <c r="I49" s="135">
        <v>1069.1151985581723</v>
      </c>
      <c r="J49" s="137">
        <v>1037.0332950553884</v>
      </c>
    </row>
    <row r="50" spans="2:10" x14ac:dyDescent="0.3">
      <c r="B50" s="103" t="s">
        <v>122</v>
      </c>
      <c r="C50" s="159">
        <f>C45+C46+C47-C48-C49</f>
        <v>93600.696329400191</v>
      </c>
      <c r="E50" s="100">
        <v>0.05</v>
      </c>
      <c r="F50" s="138">
        <v>1656.3832029981752</v>
      </c>
      <c r="G50" s="136">
        <v>1275.0370160350826</v>
      </c>
      <c r="H50" s="139">
        <v>1157.227784306212</v>
      </c>
      <c r="I50" s="136">
        <v>1106.8892623775498</v>
      </c>
      <c r="J50" s="140">
        <v>1071.7799543729479</v>
      </c>
    </row>
    <row r="51" spans="2:10" x14ac:dyDescent="0.3">
      <c r="B51" s="53"/>
      <c r="C51" s="54"/>
      <c r="E51" s="99">
        <v>5.5E-2</v>
      </c>
      <c r="F51" s="134">
        <v>1779.6939638941808</v>
      </c>
      <c r="G51" s="135">
        <v>1338.0136216239646</v>
      </c>
      <c r="H51" s="136">
        <v>1205.905844746849</v>
      </c>
      <c r="I51" s="135">
        <v>1150.0596210282663</v>
      </c>
      <c r="J51" s="137">
        <v>1111.3192563549985</v>
      </c>
    </row>
    <row r="52" spans="2:10" ht="15" thickBot="1" x14ac:dyDescent="0.35">
      <c r="B52" s="194" t="s">
        <v>161</v>
      </c>
      <c r="C52" s="195"/>
      <c r="E52" s="101">
        <v>0.06</v>
      </c>
      <c r="F52" s="143">
        <v>1933.8324150141889</v>
      </c>
      <c r="G52" s="144">
        <v>1412.4405191380981</v>
      </c>
      <c r="H52" s="145">
        <v>1262.4745836130562</v>
      </c>
      <c r="I52" s="144">
        <v>1199.8715733175552</v>
      </c>
      <c r="J52" s="146">
        <v>1156.7162327047604</v>
      </c>
    </row>
    <row r="53" spans="2:10" ht="5.4" customHeight="1" x14ac:dyDescent="0.3">
      <c r="B53" s="48"/>
      <c r="C53" s="55"/>
    </row>
    <row r="54" spans="2:10" x14ac:dyDescent="0.3">
      <c r="B54" s="56" t="s">
        <v>123</v>
      </c>
      <c r="C54" s="160">
        <f>Q42</f>
        <v>80.8835543</v>
      </c>
    </row>
    <row r="55" spans="2:10" x14ac:dyDescent="0.3">
      <c r="B55" s="57" t="s">
        <v>124</v>
      </c>
      <c r="C55" s="162">
        <f>C50/C54</f>
        <v>1157.227784306212</v>
      </c>
    </row>
    <row r="56" spans="2:10" x14ac:dyDescent="0.3">
      <c r="B56" s="48" t="s">
        <v>125</v>
      </c>
      <c r="C56" s="163">
        <v>1584</v>
      </c>
    </row>
    <row r="57" spans="2:10" ht="5.4" customHeight="1" x14ac:dyDescent="0.3">
      <c r="B57" s="48"/>
      <c r="C57" s="104"/>
    </row>
    <row r="58" spans="2:10" x14ac:dyDescent="0.3">
      <c r="B58" s="105" t="s">
        <v>165</v>
      </c>
      <c r="C58" s="164" t="str">
        <f>IF(C56&gt;C55,"Overvalued","Undervalued")</f>
        <v>Overvalued</v>
      </c>
    </row>
    <row r="59" spans="2:10" x14ac:dyDescent="0.3">
      <c r="B59" s="106" t="s">
        <v>166</v>
      </c>
      <c r="C59" s="165">
        <f>C56/C55-1</f>
        <v>0.36878842824332025</v>
      </c>
    </row>
    <row r="60" spans="2:10" ht="15" thickBot="1" x14ac:dyDescent="0.35"/>
    <row r="61" spans="2:10" x14ac:dyDescent="0.3">
      <c r="B61" s="83" t="s">
        <v>126</v>
      </c>
      <c r="C61" s="83"/>
    </row>
    <row r="62" spans="2:10" x14ac:dyDescent="0.3">
      <c r="B62" s="58" t="s">
        <v>127</v>
      </c>
      <c r="C62" s="176">
        <f>C50</f>
        <v>93600.696329400191</v>
      </c>
    </row>
    <row r="63" spans="2:10" x14ac:dyDescent="0.3">
      <c r="B63" s="58" t="s">
        <v>128</v>
      </c>
      <c r="C63" s="176">
        <f>'Data Sheet'!B9</f>
        <v>127982.39999999999</v>
      </c>
    </row>
    <row r="64" spans="2:10" ht="15" thickBot="1" x14ac:dyDescent="0.35">
      <c r="B64" s="59" t="s">
        <v>129</v>
      </c>
      <c r="C64" s="60">
        <f>C62/C63</f>
        <v>0.73135600152364855</v>
      </c>
    </row>
    <row r="66" spans="2:18" ht="15" thickBot="1" x14ac:dyDescent="0.35">
      <c r="B66" s="40" t="s">
        <v>130</v>
      </c>
    </row>
    <row r="67" spans="2:18" ht="15" thickBot="1" x14ac:dyDescent="0.35">
      <c r="B67" s="61"/>
      <c r="C67" s="62">
        <v>43915</v>
      </c>
      <c r="D67" s="62">
        <v>44280</v>
      </c>
      <c r="E67" s="62">
        <v>44645</v>
      </c>
      <c r="F67" s="62">
        <v>45010</v>
      </c>
      <c r="G67" s="63">
        <v>45375</v>
      </c>
      <c r="H67" s="62">
        <v>45740</v>
      </c>
      <c r="I67" s="62">
        <v>46105</v>
      </c>
      <c r="J67" s="62">
        <v>46470</v>
      </c>
      <c r="K67" s="62">
        <v>46835</v>
      </c>
      <c r="L67" s="62">
        <v>47200</v>
      </c>
      <c r="M67" s="62">
        <v>47565</v>
      </c>
      <c r="N67" s="62">
        <v>47930</v>
      </c>
      <c r="O67" s="62">
        <v>48295</v>
      </c>
      <c r="P67" s="62">
        <v>48660</v>
      </c>
      <c r="Q67" s="62">
        <v>49025</v>
      </c>
      <c r="R67" s="62">
        <v>49390</v>
      </c>
    </row>
    <row r="68" spans="2:18" x14ac:dyDescent="0.3">
      <c r="B68" s="40" t="s">
        <v>44</v>
      </c>
      <c r="C68" s="64">
        <v>3446</v>
      </c>
      <c r="D68" s="64">
        <v>3446</v>
      </c>
      <c r="E68" s="64">
        <v>3424</v>
      </c>
      <c r="F68" s="64">
        <v>4057</v>
      </c>
      <c r="G68" s="64">
        <v>4771</v>
      </c>
      <c r="H68" s="65">
        <v>5506</v>
      </c>
    </row>
    <row r="69" spans="2:18" x14ac:dyDescent="0.3">
      <c r="B69" s="40" t="s">
        <v>131</v>
      </c>
      <c r="C69" s="66">
        <v>2282</v>
      </c>
      <c r="D69" s="66">
        <v>2067</v>
      </c>
      <c r="E69" s="66">
        <v>2508</v>
      </c>
      <c r="F69" s="66">
        <v>2535</v>
      </c>
      <c r="G69" s="66">
        <v>2474</v>
      </c>
      <c r="H69" s="67">
        <v>2837</v>
      </c>
    </row>
    <row r="70" spans="2:18" ht="15" thickBot="1" x14ac:dyDescent="0.35">
      <c r="B70" s="40" t="s">
        <v>132</v>
      </c>
      <c r="C70" s="64">
        <v>4378</v>
      </c>
      <c r="D70" s="64">
        <v>4669</v>
      </c>
      <c r="E70" s="64">
        <v>5350</v>
      </c>
      <c r="F70" s="64">
        <v>5156</v>
      </c>
      <c r="G70" s="64">
        <v>5238</v>
      </c>
      <c r="H70" s="68">
        <v>5642</v>
      </c>
    </row>
    <row r="71" spans="2:18" x14ac:dyDescent="0.3">
      <c r="B71" s="69" t="s">
        <v>30</v>
      </c>
      <c r="C71" s="169">
        <f>(C68+C70)-(C69)</f>
        <v>5542</v>
      </c>
      <c r="D71" s="169">
        <f t="shared" ref="D71:G71" si="13">(D68+D70)-(D69)</f>
        <v>6048</v>
      </c>
      <c r="E71" s="169">
        <f t="shared" si="13"/>
        <v>6266</v>
      </c>
      <c r="F71" s="169">
        <f t="shared" si="13"/>
        <v>6678</v>
      </c>
      <c r="G71" s="169">
        <f t="shared" si="13"/>
        <v>7535</v>
      </c>
      <c r="H71" s="169">
        <f>(H68+H70)-(H69)</f>
        <v>8311</v>
      </c>
      <c r="I71" s="172">
        <f t="shared" ref="I71:R71" si="14">D20*$C$74</f>
        <v>8935.9165574039962</v>
      </c>
      <c r="J71" s="172">
        <f t="shared" si="14"/>
        <v>10186.944875440557</v>
      </c>
      <c r="K71" s="172">
        <f t="shared" si="14"/>
        <v>11511.247709247828</v>
      </c>
      <c r="L71" s="172">
        <f t="shared" si="14"/>
        <v>12892.597434357567</v>
      </c>
      <c r="M71" s="172">
        <f t="shared" si="14"/>
        <v>14439.709126480479</v>
      </c>
      <c r="N71" s="172">
        <f t="shared" si="14"/>
        <v>16028.077130393332</v>
      </c>
      <c r="O71" s="172">
        <f t="shared" si="14"/>
        <v>17630.884843432668</v>
      </c>
      <c r="P71" s="172">
        <f t="shared" si="14"/>
        <v>19217.664479341609</v>
      </c>
      <c r="Q71" s="172">
        <f t="shared" si="14"/>
        <v>20755.077637688941</v>
      </c>
      <c r="R71" s="173">
        <f t="shared" si="14"/>
        <v>22000.38229595028</v>
      </c>
    </row>
    <row r="72" spans="2:18" ht="15" thickBot="1" x14ac:dyDescent="0.35">
      <c r="B72" s="70" t="s">
        <v>133</v>
      </c>
      <c r="C72" s="170"/>
      <c r="D72" s="171">
        <f>D71-C71</f>
        <v>506</v>
      </c>
      <c r="E72" s="171">
        <f t="shared" ref="E72:G72" si="15">E71-D71</f>
        <v>218</v>
      </c>
      <c r="F72" s="171">
        <f t="shared" si="15"/>
        <v>412</v>
      </c>
      <c r="G72" s="171">
        <f t="shared" si="15"/>
        <v>857</v>
      </c>
      <c r="H72" s="171">
        <f>H71-G71</f>
        <v>776</v>
      </c>
      <c r="I72" s="174">
        <f t="shared" ref="I72:R72" si="16">I71-H71</f>
        <v>624.91655740399619</v>
      </c>
      <c r="J72" s="174">
        <f t="shared" si="16"/>
        <v>1251.0283180365604</v>
      </c>
      <c r="K72" s="174">
        <f t="shared" si="16"/>
        <v>1324.3028338072709</v>
      </c>
      <c r="L72" s="174">
        <f t="shared" si="16"/>
        <v>1381.3497251097397</v>
      </c>
      <c r="M72" s="174">
        <f t="shared" si="16"/>
        <v>1547.1116921229113</v>
      </c>
      <c r="N72" s="174">
        <f t="shared" si="16"/>
        <v>1588.368003912854</v>
      </c>
      <c r="O72" s="174">
        <f t="shared" si="16"/>
        <v>1602.8077130393358</v>
      </c>
      <c r="P72" s="174">
        <f t="shared" si="16"/>
        <v>1586.7796359089407</v>
      </c>
      <c r="Q72" s="174">
        <f t="shared" si="16"/>
        <v>1537.4131583473318</v>
      </c>
      <c r="R72" s="175">
        <f t="shared" si="16"/>
        <v>1245.3046582613388</v>
      </c>
    </row>
    <row r="73" spans="2:18" x14ac:dyDescent="0.3">
      <c r="B73" s="40" t="s">
        <v>134</v>
      </c>
      <c r="C73" s="125">
        <f>C71/C76</f>
        <v>0.32348839802031165</v>
      </c>
      <c r="D73" s="125">
        <f>D71/D76</f>
        <v>0.31566437486397153</v>
      </c>
      <c r="E73" s="125">
        <f t="shared" ref="E73:H73" si="17">E71/E76</f>
        <v>0.2879153659318836</v>
      </c>
      <c r="F73" s="125">
        <f t="shared" si="17"/>
        <v>0.29349821035532708</v>
      </c>
      <c r="G73" s="125">
        <f t="shared" si="17"/>
        <v>0.29234785786811485</v>
      </c>
      <c r="H73" s="125">
        <f t="shared" si="17"/>
        <v>0.30169575447897135</v>
      </c>
    </row>
    <row r="74" spans="2:18" x14ac:dyDescent="0.3">
      <c r="B74" s="27" t="s">
        <v>135</v>
      </c>
      <c r="C74" s="16">
        <f>MEDIAN(C73:H73)</f>
        <v>0.29759698241714921</v>
      </c>
      <c r="I74" s="71"/>
    </row>
    <row r="76" spans="2:18" x14ac:dyDescent="0.3">
      <c r="B76" s="27" t="s">
        <v>153</v>
      </c>
      <c r="C76" s="35">
        <f>'Profit &amp; Loss'!F4</f>
        <v>17131.990000000002</v>
      </c>
      <c r="D76" s="35">
        <f>'Profit &amp; Loss'!G4</f>
        <v>19159.59</v>
      </c>
      <c r="E76" s="35">
        <f>'Profit &amp; Loss'!H4</f>
        <v>21763.34</v>
      </c>
      <c r="F76" s="35">
        <f>'Profit &amp; Loss'!I4</f>
        <v>22753.119999999999</v>
      </c>
      <c r="G76" s="35">
        <f>'Profit &amp; Loss'!J4</f>
        <v>25774.09</v>
      </c>
      <c r="H76" s="35">
        <f>'Profit &amp; Loss'!K4</f>
        <v>27547.62</v>
      </c>
    </row>
  </sheetData>
  <sheetProtection sheet="1" objects="1" scenarios="1"/>
  <mergeCells count="8">
    <mergeCell ref="B2:Q2"/>
    <mergeCell ref="B10:C10"/>
    <mergeCell ref="D15:M15"/>
    <mergeCell ref="B37:C37"/>
    <mergeCell ref="B52:C52"/>
    <mergeCell ref="E37:J37"/>
    <mergeCell ref="E46:J46"/>
    <mergeCell ref="O37:Q37"/>
  </mergeCells>
  <pageMargins left="0.7" right="0.7" top="0.75" bottom="0.75" header="0.3" footer="0.3"/>
  <pageSetup scale="57" fitToHeight="0" orientation="landscape" r:id="rId1"/>
  <colBreaks count="1" manualBreakCount="1">
    <brk id="18" max="1048575" man="1"/>
  </colBreaks>
  <ignoredErrors>
    <ignoredError sqref="Q26:Q28 C50 C73:H73 C76:H76 F40:J44 F48:J52 C39 E22:L22 D21:M21 E20:M20 D20 C22:D22 C20 C21 M22 C24:M24 C26:M26 C29:M30 Q22 V24:Y25 U25 E18:N18" unlockedFormula="1"/>
  </ignoredError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7BF8D-2DED-48D5-A053-E7EB1187FA8A}">
  <dimension ref="B2:Z41"/>
  <sheetViews>
    <sheetView showGridLines="0" zoomScale="96" zoomScaleNormal="82" workbookViewId="0">
      <selection activeCell="F33" sqref="F33"/>
    </sheetView>
  </sheetViews>
  <sheetFormatPr defaultRowHeight="14.4" x14ac:dyDescent="0.3"/>
  <cols>
    <col min="1" max="1" width="2.33203125" customWidth="1"/>
  </cols>
  <sheetData>
    <row r="2" spans="2:26" ht="21" x14ac:dyDescent="0.4">
      <c r="B2" s="205" t="s">
        <v>170</v>
      </c>
      <c r="C2" s="205"/>
      <c r="D2" s="205"/>
      <c r="E2" s="205"/>
      <c r="F2" s="205"/>
      <c r="G2" s="205"/>
      <c r="H2" s="205"/>
      <c r="I2" s="205"/>
      <c r="J2" s="205"/>
      <c r="K2" s="205"/>
      <c r="L2" s="205"/>
      <c r="M2" s="205"/>
      <c r="N2" s="205"/>
      <c r="O2" s="205"/>
      <c r="P2" s="205"/>
      <c r="Q2" s="205"/>
      <c r="R2" s="205"/>
      <c r="S2" s="205"/>
      <c r="T2" s="205"/>
      <c r="U2" s="205"/>
      <c r="V2" s="205"/>
      <c r="W2" s="205"/>
      <c r="X2" s="205"/>
      <c r="Y2" s="205"/>
      <c r="Z2" s="205"/>
    </row>
    <row r="3" spans="2:26" ht="15" thickBot="1" x14ac:dyDescent="0.35"/>
    <row r="4" spans="2:26" ht="16.2" thickBot="1" x14ac:dyDescent="0.35">
      <c r="B4" s="107" t="s">
        <v>171</v>
      </c>
      <c r="C4" s="108"/>
      <c r="D4" s="109"/>
      <c r="E4" s="109"/>
      <c r="F4" s="109"/>
      <c r="G4" s="109"/>
      <c r="H4" s="109"/>
      <c r="I4" s="109"/>
      <c r="J4" s="109"/>
      <c r="K4" s="109"/>
      <c r="L4" s="109"/>
      <c r="M4" s="109"/>
      <c r="N4" s="109"/>
      <c r="O4" s="109"/>
      <c r="P4" s="109"/>
      <c r="Q4" s="109"/>
      <c r="R4" s="109"/>
      <c r="S4" s="109"/>
      <c r="T4" s="109"/>
      <c r="U4" s="109"/>
      <c r="V4" s="109"/>
      <c r="W4" s="109"/>
      <c r="X4" s="109"/>
      <c r="Y4" s="109"/>
      <c r="Z4" s="109"/>
    </row>
    <row r="5" spans="2:26" ht="15.6" x14ac:dyDescent="0.3">
      <c r="B5" s="110"/>
      <c r="C5" s="2"/>
      <c r="D5" s="111"/>
    </row>
    <row r="6" spans="2:26" x14ac:dyDescent="0.3">
      <c r="B6" t="s">
        <v>167</v>
      </c>
      <c r="D6" s="112"/>
      <c r="F6" s="116">
        <v>1157</v>
      </c>
    </row>
    <row r="7" spans="2:26" x14ac:dyDescent="0.3">
      <c r="B7" t="s">
        <v>125</v>
      </c>
      <c r="D7" s="112"/>
      <c r="F7" t="s">
        <v>184</v>
      </c>
    </row>
    <row r="8" spans="2:26" x14ac:dyDescent="0.3">
      <c r="B8" s="113" t="s">
        <v>168</v>
      </c>
      <c r="D8" s="112"/>
      <c r="F8" t="s">
        <v>169</v>
      </c>
    </row>
    <row r="9" spans="2:26" ht="15" thickBot="1" x14ac:dyDescent="0.35">
      <c r="B9" s="114"/>
    </row>
    <row r="10" spans="2:26" ht="16.2" thickBot="1" x14ac:dyDescent="0.35">
      <c r="B10" s="107" t="s">
        <v>185</v>
      </c>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row>
    <row r="12" spans="2:26" ht="18" customHeight="1" x14ac:dyDescent="0.3">
      <c r="B12" t="s">
        <v>172</v>
      </c>
      <c r="D12" s="112"/>
      <c r="F12" s="204" t="s">
        <v>186</v>
      </c>
      <c r="G12" s="206"/>
      <c r="H12" s="206"/>
      <c r="I12" s="206"/>
      <c r="J12" s="206"/>
      <c r="K12" s="206"/>
      <c r="L12" s="206"/>
      <c r="M12" s="206"/>
      <c r="N12" s="206"/>
      <c r="O12" s="206"/>
      <c r="P12" s="206"/>
      <c r="Q12" s="206"/>
      <c r="R12" s="206"/>
      <c r="S12" s="206"/>
      <c r="T12" s="206"/>
      <c r="U12" s="206"/>
      <c r="V12" s="206"/>
      <c r="W12" s="206"/>
      <c r="X12" s="206"/>
      <c r="Y12" s="206"/>
      <c r="Z12" s="206"/>
    </row>
    <row r="13" spans="2:26" x14ac:dyDescent="0.3">
      <c r="D13" s="112"/>
      <c r="F13" s="206"/>
      <c r="G13" s="206"/>
      <c r="H13" s="206"/>
      <c r="I13" s="206"/>
      <c r="J13" s="206"/>
      <c r="K13" s="206"/>
      <c r="L13" s="206"/>
      <c r="M13" s="206"/>
      <c r="N13" s="206"/>
      <c r="O13" s="206"/>
      <c r="P13" s="206"/>
      <c r="Q13" s="206"/>
      <c r="R13" s="206"/>
      <c r="S13" s="206"/>
      <c r="T13" s="206"/>
      <c r="U13" s="206"/>
      <c r="V13" s="206"/>
      <c r="W13" s="206"/>
      <c r="X13" s="206"/>
      <c r="Y13" s="206"/>
      <c r="Z13" s="206"/>
    </row>
    <row r="14" spans="2:26" x14ac:dyDescent="0.3">
      <c r="D14" s="112"/>
      <c r="F14" s="206"/>
      <c r="G14" s="206"/>
      <c r="H14" s="206"/>
      <c r="I14" s="206"/>
      <c r="J14" s="206"/>
      <c r="K14" s="206"/>
      <c r="L14" s="206"/>
      <c r="M14" s="206"/>
      <c r="N14" s="206"/>
      <c r="O14" s="206"/>
      <c r="P14" s="206"/>
      <c r="Q14" s="206"/>
      <c r="R14" s="206"/>
      <c r="S14" s="206"/>
      <c r="T14" s="206"/>
      <c r="U14" s="206"/>
      <c r="V14" s="206"/>
      <c r="W14" s="206"/>
      <c r="X14" s="206"/>
      <c r="Y14" s="206"/>
      <c r="Z14" s="206"/>
    </row>
    <row r="15" spans="2:26" x14ac:dyDescent="0.3">
      <c r="D15" s="112"/>
      <c r="F15" s="206"/>
      <c r="G15" s="206"/>
      <c r="H15" s="206"/>
      <c r="I15" s="206"/>
      <c r="J15" s="206"/>
      <c r="K15" s="206"/>
      <c r="L15" s="206"/>
      <c r="M15" s="206"/>
      <c r="N15" s="206"/>
      <c r="O15" s="206"/>
      <c r="P15" s="206"/>
      <c r="Q15" s="206"/>
      <c r="R15" s="206"/>
      <c r="S15" s="206"/>
      <c r="T15" s="206"/>
      <c r="U15" s="206"/>
      <c r="V15" s="206"/>
      <c r="W15" s="206"/>
      <c r="X15" s="206"/>
      <c r="Y15" s="206"/>
      <c r="Z15" s="206"/>
    </row>
    <row r="16" spans="2:26" x14ac:dyDescent="0.3">
      <c r="D16" s="112"/>
    </row>
    <row r="17" spans="2:26" x14ac:dyDescent="0.3">
      <c r="B17" t="s">
        <v>173</v>
      </c>
      <c r="D17" s="112"/>
      <c r="F17" s="113" t="s">
        <v>187</v>
      </c>
    </row>
    <row r="18" spans="2:26" x14ac:dyDescent="0.3">
      <c r="D18" s="112"/>
    </row>
    <row r="19" spans="2:26" x14ac:dyDescent="0.3">
      <c r="B19" s="113" t="s">
        <v>174</v>
      </c>
      <c r="D19" s="112"/>
      <c r="F19" s="207" t="s">
        <v>190</v>
      </c>
      <c r="G19" s="208"/>
      <c r="H19" s="208"/>
      <c r="I19" s="208"/>
      <c r="J19" s="208"/>
      <c r="K19" s="208"/>
      <c r="L19" s="208"/>
      <c r="M19" s="208"/>
      <c r="N19" s="208"/>
      <c r="O19" s="208"/>
      <c r="P19" s="208"/>
      <c r="Q19" s="208"/>
      <c r="R19" s="208"/>
      <c r="S19" s="208"/>
      <c r="T19" s="208"/>
      <c r="U19" s="208"/>
      <c r="V19" s="208"/>
      <c r="W19" s="208"/>
      <c r="X19" s="208"/>
      <c r="Y19" s="208"/>
      <c r="Z19" s="208"/>
    </row>
    <row r="20" spans="2:26" x14ac:dyDescent="0.3">
      <c r="B20" s="113"/>
      <c r="F20" s="208"/>
      <c r="G20" s="208"/>
      <c r="H20" s="208"/>
      <c r="I20" s="208"/>
      <c r="J20" s="208"/>
      <c r="K20" s="208"/>
      <c r="L20" s="208"/>
      <c r="M20" s="208"/>
      <c r="N20" s="208"/>
      <c r="O20" s="208"/>
      <c r="P20" s="208"/>
      <c r="Q20" s="208"/>
      <c r="R20" s="208"/>
      <c r="S20" s="208"/>
      <c r="T20" s="208"/>
      <c r="U20" s="208"/>
      <c r="V20" s="208"/>
      <c r="W20" s="208"/>
      <c r="X20" s="208"/>
      <c r="Y20" s="208"/>
      <c r="Z20" s="208"/>
    </row>
    <row r="21" spans="2:26" ht="15" thickBot="1" x14ac:dyDescent="0.35">
      <c r="B21" s="113"/>
    </row>
    <row r="22" spans="2:26" ht="16.2" thickBot="1" x14ac:dyDescent="0.35">
      <c r="B22" s="115" t="s">
        <v>175</v>
      </c>
      <c r="C22" s="109"/>
      <c r="D22" s="109"/>
      <c r="E22" s="109"/>
      <c r="F22" s="109"/>
      <c r="G22" s="109"/>
      <c r="H22" s="109"/>
      <c r="I22" s="109"/>
      <c r="J22" s="109"/>
      <c r="K22" s="109"/>
      <c r="L22" s="109"/>
      <c r="M22" s="109"/>
      <c r="N22" s="109"/>
      <c r="O22" s="109"/>
      <c r="P22" s="109"/>
      <c r="Q22" s="109"/>
      <c r="R22" s="109"/>
      <c r="S22" s="109"/>
      <c r="T22" s="109"/>
      <c r="U22" s="109"/>
      <c r="V22" s="109"/>
      <c r="W22" s="109"/>
      <c r="X22" s="109"/>
      <c r="Y22" s="109"/>
      <c r="Z22" s="109"/>
    </row>
    <row r="23" spans="2:26" x14ac:dyDescent="0.3">
      <c r="B23" s="113"/>
    </row>
    <row r="24" spans="2:26" ht="14.4" customHeight="1" x14ac:dyDescent="0.3">
      <c r="B24" t="s">
        <v>176</v>
      </c>
      <c r="D24" s="112"/>
      <c r="F24" s="204" t="s">
        <v>191</v>
      </c>
      <c r="G24" s="204"/>
      <c r="H24" s="204"/>
      <c r="I24" s="204"/>
      <c r="J24" s="204"/>
      <c r="K24" s="204"/>
      <c r="L24" s="204"/>
      <c r="M24" s="204"/>
      <c r="N24" s="204"/>
      <c r="O24" s="204"/>
      <c r="P24" s="204"/>
      <c r="Q24" s="204"/>
      <c r="R24" s="204"/>
      <c r="S24" s="204"/>
      <c r="T24" s="204"/>
      <c r="U24" s="204"/>
      <c r="V24" s="204"/>
      <c r="W24" s="204"/>
      <c r="X24" s="204"/>
      <c r="Y24" s="204"/>
    </row>
    <row r="25" spans="2:26" x14ac:dyDescent="0.3">
      <c r="D25" s="112"/>
      <c r="F25" s="204"/>
      <c r="G25" s="204"/>
      <c r="H25" s="204"/>
      <c r="I25" s="204"/>
      <c r="J25" s="204"/>
      <c r="K25" s="204"/>
      <c r="L25" s="204"/>
      <c r="M25" s="204"/>
      <c r="N25" s="204"/>
      <c r="O25" s="204"/>
      <c r="P25" s="204"/>
      <c r="Q25" s="204"/>
      <c r="R25" s="204"/>
      <c r="S25" s="204"/>
      <c r="T25" s="204"/>
      <c r="U25" s="204"/>
      <c r="V25" s="204"/>
      <c r="W25" s="204"/>
      <c r="X25" s="204"/>
      <c r="Y25" s="204"/>
    </row>
    <row r="26" spans="2:26" x14ac:dyDescent="0.3">
      <c r="D26" s="112"/>
      <c r="F26" s="204"/>
      <c r="G26" s="204"/>
      <c r="H26" s="204"/>
      <c r="I26" s="204"/>
      <c r="J26" s="204"/>
      <c r="K26" s="204"/>
      <c r="L26" s="204"/>
      <c r="M26" s="204"/>
      <c r="N26" s="204"/>
      <c r="O26" s="204"/>
      <c r="P26" s="204"/>
      <c r="Q26" s="204"/>
      <c r="R26" s="204"/>
      <c r="S26" s="204"/>
      <c r="T26" s="204"/>
      <c r="U26" s="204"/>
      <c r="V26" s="204"/>
      <c r="W26" s="204"/>
      <c r="X26" s="204"/>
      <c r="Y26" s="204"/>
    </row>
    <row r="27" spans="2:26" x14ac:dyDescent="0.3">
      <c r="D27" s="112"/>
      <c r="F27" s="204"/>
      <c r="G27" s="204"/>
      <c r="H27" s="204"/>
      <c r="I27" s="204"/>
      <c r="J27" s="204"/>
      <c r="K27" s="204"/>
      <c r="L27" s="204"/>
      <c r="M27" s="204"/>
      <c r="N27" s="204"/>
      <c r="O27" s="204"/>
      <c r="P27" s="204"/>
      <c r="Q27" s="204"/>
      <c r="R27" s="204"/>
      <c r="S27" s="204"/>
      <c r="T27" s="204"/>
      <c r="U27" s="204"/>
      <c r="V27" s="204"/>
      <c r="W27" s="204"/>
      <c r="X27" s="204"/>
      <c r="Y27" s="204"/>
    </row>
    <row r="28" spans="2:26" x14ac:dyDescent="0.3">
      <c r="D28" s="112"/>
    </row>
    <row r="29" spans="2:26" ht="14.4" customHeight="1" x14ac:dyDescent="0.3">
      <c r="B29" t="s">
        <v>177</v>
      </c>
      <c r="D29" s="112"/>
      <c r="F29" s="204" t="s">
        <v>188</v>
      </c>
      <c r="G29" s="204"/>
      <c r="H29" s="204"/>
      <c r="I29" s="204"/>
      <c r="J29" s="204"/>
      <c r="K29" s="204"/>
      <c r="L29" s="204"/>
      <c r="M29" s="204"/>
      <c r="N29" s="204"/>
      <c r="O29" s="204"/>
      <c r="P29" s="204"/>
      <c r="Q29" s="204"/>
      <c r="R29" s="204"/>
      <c r="S29" s="204"/>
      <c r="T29" s="204"/>
      <c r="U29" s="204"/>
      <c r="V29" s="204"/>
      <c r="W29" s="204"/>
      <c r="X29" s="204"/>
    </row>
    <row r="30" spans="2:26" x14ac:dyDescent="0.3">
      <c r="D30" s="112"/>
      <c r="F30" s="204"/>
      <c r="G30" s="204"/>
      <c r="H30" s="204"/>
      <c r="I30" s="204"/>
      <c r="J30" s="204"/>
      <c r="K30" s="204"/>
      <c r="L30" s="204"/>
      <c r="M30" s="204"/>
      <c r="N30" s="204"/>
      <c r="O30" s="204"/>
      <c r="P30" s="204"/>
      <c r="Q30" s="204"/>
      <c r="R30" s="204"/>
      <c r="S30" s="204"/>
      <c r="T30" s="204"/>
      <c r="U30" s="204"/>
      <c r="V30" s="204"/>
      <c r="W30" s="204"/>
      <c r="X30" s="204"/>
    </row>
    <row r="31" spans="2:26" x14ac:dyDescent="0.3">
      <c r="D31" s="112"/>
      <c r="F31" s="204"/>
      <c r="G31" s="204"/>
      <c r="H31" s="204"/>
      <c r="I31" s="204"/>
      <c r="J31" s="204"/>
      <c r="K31" s="204"/>
      <c r="L31" s="204"/>
      <c r="M31" s="204"/>
      <c r="N31" s="204"/>
      <c r="O31" s="204"/>
      <c r="P31" s="204"/>
      <c r="Q31" s="204"/>
      <c r="R31" s="204"/>
      <c r="S31" s="204"/>
      <c r="T31" s="204"/>
      <c r="U31" s="204"/>
      <c r="V31" s="204"/>
      <c r="W31" s="204"/>
      <c r="X31" s="204"/>
    </row>
    <row r="32" spans="2:26" x14ac:dyDescent="0.3">
      <c r="D32" s="112"/>
      <c r="F32" s="117"/>
      <c r="G32" s="117"/>
      <c r="H32" s="117"/>
      <c r="I32" s="117"/>
      <c r="J32" s="117"/>
      <c r="K32" s="117"/>
      <c r="L32" s="117"/>
      <c r="M32" s="117"/>
      <c r="N32" s="117"/>
      <c r="O32" s="117"/>
      <c r="P32" s="117"/>
      <c r="Q32" s="117"/>
      <c r="R32" s="117"/>
      <c r="S32" s="117"/>
      <c r="T32" s="117"/>
      <c r="U32" s="117"/>
      <c r="V32" s="117"/>
      <c r="W32" s="117"/>
      <c r="X32" s="117"/>
    </row>
    <row r="33" spans="2:26" x14ac:dyDescent="0.3">
      <c r="B33" t="s">
        <v>113</v>
      </c>
      <c r="D33" s="112"/>
      <c r="F33" s="2" t="s">
        <v>189</v>
      </c>
      <c r="G33" s="117"/>
      <c r="H33" s="117"/>
      <c r="I33" s="117"/>
      <c r="J33" s="117"/>
      <c r="K33" s="117"/>
      <c r="L33" s="117"/>
      <c r="M33" s="117"/>
      <c r="N33" s="117"/>
      <c r="O33" s="117"/>
      <c r="P33" s="117"/>
      <c r="Q33" s="117"/>
      <c r="R33" s="117"/>
      <c r="S33" s="117"/>
      <c r="T33" s="117"/>
      <c r="U33" s="117"/>
      <c r="V33" s="117"/>
      <c r="W33" s="117"/>
      <c r="X33" s="117"/>
    </row>
    <row r="34" spans="2:26" ht="15" thickBot="1" x14ac:dyDescent="0.35"/>
    <row r="35" spans="2:26" ht="16.2" thickBot="1" x14ac:dyDescent="0.35">
      <c r="B35" s="107" t="s">
        <v>178</v>
      </c>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109"/>
    </row>
    <row r="37" spans="2:26" x14ac:dyDescent="0.3">
      <c r="B37" t="s">
        <v>179</v>
      </c>
      <c r="D37" s="112"/>
      <c r="F37" t="s">
        <v>180</v>
      </c>
    </row>
    <row r="38" spans="2:26" x14ac:dyDescent="0.3">
      <c r="D38" s="112"/>
    </row>
    <row r="39" spans="2:26" x14ac:dyDescent="0.3">
      <c r="B39" t="s">
        <v>97</v>
      </c>
      <c r="D39" s="112"/>
      <c r="F39" t="s">
        <v>181</v>
      </c>
    </row>
    <row r="40" spans="2:26" x14ac:dyDescent="0.3">
      <c r="D40" s="112"/>
    </row>
    <row r="41" spans="2:26" x14ac:dyDescent="0.3">
      <c r="B41" t="s">
        <v>182</v>
      </c>
      <c r="D41" s="112"/>
      <c r="F41" t="s">
        <v>183</v>
      </c>
    </row>
  </sheetData>
  <mergeCells count="5">
    <mergeCell ref="F29:X31"/>
    <mergeCell ref="B2:Z2"/>
    <mergeCell ref="F12:Z15"/>
    <mergeCell ref="F19:Z20"/>
    <mergeCell ref="F24:Y2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Profit &amp; Loss</vt:lpstr>
      <vt:lpstr>Balance Sheet</vt:lpstr>
      <vt:lpstr>Cash Flow</vt:lpstr>
      <vt:lpstr>Data Sheet</vt:lpstr>
      <vt:lpstr>DCF</vt:lpstr>
      <vt:lpstr>Overview</vt:lpstr>
      <vt:lpstr>DCF!Print_Area</vt:lpstr>
      <vt:lpstr>UPDATE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Pratyush</dc:creator>
  <cp:lastModifiedBy>Anvay Gulwe</cp:lastModifiedBy>
  <cp:lastPrinted>2025-10-26T12:02:14Z</cp:lastPrinted>
  <dcterms:created xsi:type="dcterms:W3CDTF">2012-08-17T09:55:37Z</dcterms:created>
  <dcterms:modified xsi:type="dcterms:W3CDTF">2026-04-25T15:22:07Z</dcterms:modified>
</cp:coreProperties>
</file>