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Anvay\Downloads\"/>
    </mc:Choice>
  </mc:AlternateContent>
  <xr:revisionPtr revIDLastSave="0" documentId="13_ncr:1_{2529BAC6-1F5F-49B7-AA58-820E123DF200}" xr6:coauthVersionLast="47" xr6:coauthVersionMax="47" xr10:uidLastSave="{00000000-0000-0000-0000-000000000000}"/>
  <bookViews>
    <workbookView xWindow="-108" yWindow="-108" windowWidth="23256" windowHeight="12456" tabRatio="893" xr2:uid="{095CDCFA-4233-4A02-BBCC-7937AC06E7E5}"/>
  </bookViews>
  <sheets>
    <sheet name="COVER" sheetId="12" r:id="rId1"/>
    <sheet name="Relative Valuation" sheetId="1" r:id="rId2"/>
    <sheet name="DCF (Sapphire)" sheetId="7" r:id="rId3"/>
    <sheet name="DCF (Devyani)" sheetId="8" r:id="rId4"/>
    <sheet name="Share Swap &amp; Deal Terms" sheetId="9" r:id="rId5"/>
    <sheet name="Accretion &amp; Dilution" sheetId="10" r:id="rId6"/>
    <sheet name="Valuation Summary" sheetId="11" r:id="rId7"/>
  </sheets>
  <externalReferences>
    <externalReference r:id="rId8"/>
  </externalReferences>
  <definedNames>
    <definedName name="_xlnm.Print_Area" localSheetId="5">'Accretion &amp; Dilution'!$A$1:$H$50</definedName>
    <definedName name="_xlnm.Print_Area" localSheetId="3">'DCF (Devyani)'!$A$1:$Q$60</definedName>
    <definedName name="_xlnm.Print_Area" localSheetId="2">'DCF (Sapphire)'!$A$1:$Q$60</definedName>
    <definedName name="_xlnm.Print_Area" localSheetId="1">'Relative Valuation'!$A$1:$P$41</definedName>
    <definedName name="_xlnm.Print_Area" localSheetId="4">'Share Swap &amp; Deal Terms'!$A$1:$M$28</definedName>
    <definedName name="UPDATE" localSheetId="3">'[1]Data Sheet'!$E$1</definedName>
    <definedName name="UPDATE" localSheetId="2">'[1]Data Sheet'!$E$1</definedName>
    <definedName name="UPDA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11" l="1"/>
  <c r="Q35" i="8"/>
  <c r="Q35" i="7"/>
  <c r="O38" i="1"/>
  <c r="D5" i="11"/>
  <c r="E5" i="11" s="1"/>
  <c r="D7" i="11"/>
  <c r="F7" i="11" s="1"/>
  <c r="F5" i="11"/>
  <c r="E31" i="10"/>
  <c r="D21" i="10"/>
  <c r="D22" i="10" s="1"/>
  <c r="D15" i="10"/>
  <c r="D19" i="10"/>
  <c r="C12" i="10" s="1"/>
  <c r="C8" i="10"/>
  <c r="D17" i="10" s="1"/>
  <c r="D20" i="10" s="1"/>
  <c r="H24" i="10" l="1"/>
  <c r="E30" i="10" s="1"/>
  <c r="E7" i="11"/>
  <c r="D25" i="10"/>
  <c r="D26" i="10" s="1"/>
  <c r="D18" i="10"/>
  <c r="D21" i="9" l="1"/>
  <c r="D20" i="9"/>
  <c r="C8" i="9"/>
  <c r="Q49" i="8"/>
  <c r="C52" i="8"/>
  <c r="C27" i="8"/>
  <c r="C26" i="8"/>
  <c r="C18" i="8" s="1"/>
  <c r="Q32" i="8"/>
  <c r="Q36" i="8"/>
  <c r="C33" i="8"/>
  <c r="C29" i="8"/>
  <c r="C31" i="8" s="1"/>
  <c r="Q28" i="8"/>
  <c r="F25" i="8"/>
  <c r="G25" i="8" s="1"/>
  <c r="H25" i="8" s="1"/>
  <c r="I25" i="8" s="1"/>
  <c r="J25" i="8" s="1"/>
  <c r="K25" i="8" s="1"/>
  <c r="L25" i="8" s="1"/>
  <c r="M25" i="8" s="1"/>
  <c r="E25" i="8"/>
  <c r="Q49" i="7"/>
  <c r="C58" i="7" s="1"/>
  <c r="Q38" i="8" l="1"/>
  <c r="Q39" i="8"/>
  <c r="Q41" i="8"/>
  <c r="D12" i="8" s="1"/>
  <c r="C58" i="8"/>
  <c r="D8" i="9" s="1"/>
  <c r="C9" i="10"/>
  <c r="E35" i="10" s="1"/>
  <c r="D26" i="8"/>
  <c r="C32" i="8"/>
  <c r="C34" i="8" s="1"/>
  <c r="C38" i="8" s="1"/>
  <c r="D27" i="8" l="1"/>
  <c r="D18" i="8"/>
  <c r="D28" i="8"/>
  <c r="H39" i="8"/>
  <c r="F39" i="8"/>
  <c r="E39" i="8"/>
  <c r="I39" i="8"/>
  <c r="L39" i="8"/>
  <c r="D39" i="8"/>
  <c r="J39" i="8"/>
  <c r="G39" i="8"/>
  <c r="K39" i="8"/>
  <c r="M39" i="8"/>
  <c r="D19" i="8"/>
  <c r="D36" i="8" s="1"/>
  <c r="E26" i="8"/>
  <c r="D33" i="8"/>
  <c r="D37" i="8"/>
  <c r="E18" i="8" l="1"/>
  <c r="E19" i="8" s="1"/>
  <c r="E36" i="8" s="1"/>
  <c r="F26" i="8"/>
  <c r="E28" i="8"/>
  <c r="E33" i="8" s="1"/>
  <c r="E37" i="8"/>
  <c r="E27" i="8"/>
  <c r="D29" i="8"/>
  <c r="E29" i="8" l="1"/>
  <c r="G26" i="8"/>
  <c r="F37" i="8"/>
  <c r="F27" i="8"/>
  <c r="F18" i="8"/>
  <c r="F19" i="8" s="1"/>
  <c r="F36" i="8" s="1"/>
  <c r="F28" i="8"/>
  <c r="F33" i="8" s="1"/>
  <c r="D31" i="8"/>
  <c r="D32" i="8" s="1"/>
  <c r="D34" i="8" s="1"/>
  <c r="D38" i="8" s="1"/>
  <c r="D40" i="8" s="1"/>
  <c r="E31" i="8"/>
  <c r="E32" i="8" s="1"/>
  <c r="E34" i="8" l="1"/>
  <c r="E38" i="8" s="1"/>
  <c r="E40" i="8" s="1"/>
  <c r="C10" i="10"/>
  <c r="F29" i="8"/>
  <c r="G27" i="8"/>
  <c r="G18" i="8"/>
  <c r="G19" i="8" s="1"/>
  <c r="G36" i="8" s="1"/>
  <c r="H26" i="8"/>
  <c r="I26" i="8" s="1"/>
  <c r="G28" i="8"/>
  <c r="G33" i="8" s="1"/>
  <c r="G37" i="8"/>
  <c r="C25" i="10" l="1"/>
  <c r="C26" i="10" s="1"/>
  <c r="E28" i="10" s="1"/>
  <c r="C11" i="10"/>
  <c r="E39" i="10" s="1"/>
  <c r="H28" i="8"/>
  <c r="H33" i="8" s="1"/>
  <c r="H18" i="8"/>
  <c r="H19" i="8" s="1"/>
  <c r="H36" i="8" s="1"/>
  <c r="H37" i="8"/>
  <c r="H27" i="8"/>
  <c r="G29" i="8"/>
  <c r="F31" i="8"/>
  <c r="F32" i="8" s="1"/>
  <c r="F34" i="8" s="1"/>
  <c r="F38" i="8" s="1"/>
  <c r="F40" i="8" s="1"/>
  <c r="H29" i="8" l="1"/>
  <c r="H31" i="8" s="1"/>
  <c r="H32" i="8" s="1"/>
  <c r="H34" i="8" s="1"/>
  <c r="H38" i="8" s="1"/>
  <c r="H40" i="8" s="1"/>
  <c r="G31" i="8"/>
  <c r="G32" i="8" s="1"/>
  <c r="G34" i="8" s="1"/>
  <c r="G38" i="8" s="1"/>
  <c r="G40" i="8" s="1"/>
  <c r="I28" i="8"/>
  <c r="I33" i="8" s="1"/>
  <c r="I37" i="8"/>
  <c r="J26" i="8"/>
  <c r="I27" i="8"/>
  <c r="I29" i="8" s="1"/>
  <c r="I18" i="8"/>
  <c r="I19" i="8" s="1"/>
  <c r="I36" i="8" s="1"/>
  <c r="I31" i="8" l="1"/>
  <c r="I32" i="8" s="1"/>
  <c r="I34" i="8" s="1"/>
  <c r="I38" i="8" s="1"/>
  <c r="I40" i="8" s="1"/>
  <c r="J28" i="8"/>
  <c r="J33" i="8" s="1"/>
  <c r="J37" i="8"/>
  <c r="J27" i="8"/>
  <c r="J18" i="8"/>
  <c r="J19" i="8" s="1"/>
  <c r="J36" i="8" s="1"/>
  <c r="K26" i="8"/>
  <c r="J29" i="8" l="1"/>
  <c r="J32" i="8" s="1"/>
  <c r="J34" i="8" s="1"/>
  <c r="J38" i="8" s="1"/>
  <c r="J40" i="8" s="1"/>
  <c r="J31" i="8"/>
  <c r="K37" i="8"/>
  <c r="K27" i="8"/>
  <c r="K18" i="8"/>
  <c r="K19" i="8" s="1"/>
  <c r="K36" i="8" s="1"/>
  <c r="K28" i="8"/>
  <c r="K33" i="8" s="1"/>
  <c r="L26" i="8"/>
  <c r="M26" i="8" s="1"/>
  <c r="M37" i="8" s="1"/>
  <c r="L27" i="8" l="1"/>
  <c r="L18" i="8"/>
  <c r="L19" i="8" s="1"/>
  <c r="L36" i="8" s="1"/>
  <c r="L28" i="8"/>
  <c r="L33" i="8" s="1"/>
  <c r="L37" i="8"/>
  <c r="K29" i="8"/>
  <c r="K31" i="8" l="1"/>
  <c r="K32" i="8" s="1"/>
  <c r="K34" i="8" s="1"/>
  <c r="K38" i="8" s="1"/>
  <c r="K40" i="8" s="1"/>
  <c r="M18" i="8"/>
  <c r="M19" i="8" s="1"/>
  <c r="M36" i="8" s="1"/>
  <c r="M28" i="8"/>
  <c r="M33" i="8" s="1"/>
  <c r="M27" i="8"/>
  <c r="L29" i="8"/>
  <c r="M29" i="8" l="1"/>
  <c r="M31" i="8"/>
  <c r="M32" i="8" s="1"/>
  <c r="M34" i="8" s="1"/>
  <c r="M38" i="8" s="1"/>
  <c r="C47" i="8" s="1"/>
  <c r="C48" i="8" s="1"/>
  <c r="C49" i="8" s="1"/>
  <c r="L31" i="8"/>
  <c r="L32" i="8" s="1"/>
  <c r="L34" i="8" s="1"/>
  <c r="L38" i="8" s="1"/>
  <c r="L40" i="8" s="1"/>
  <c r="M40" i="8" l="1"/>
  <c r="C43" i="8" s="1"/>
  <c r="C50" i="8" l="1"/>
  <c r="C54" i="8" l="1"/>
  <c r="D7" i="9" s="1"/>
  <c r="E47" i="8"/>
  <c r="C67" i="8" l="1"/>
  <c r="C69" i="8" s="1"/>
  <c r="C59" i="8"/>
  <c r="C26" i="7"/>
  <c r="C18" i="7" s="1"/>
  <c r="D9" i="9" l="1"/>
  <c r="C26" i="9" s="1"/>
  <c r="E55" i="8"/>
  <c r="C62" i="8"/>
  <c r="C63" i="8"/>
  <c r="C33" i="7"/>
  <c r="C27" i="7" l="1"/>
  <c r="C29" i="7" s="1"/>
  <c r="D26" i="7"/>
  <c r="Q32" i="7"/>
  <c r="Q28" i="7"/>
  <c r="D18" i="7" l="1"/>
  <c r="D19" i="7" s="1"/>
  <c r="D36" i="7" s="1"/>
  <c r="D37" i="7"/>
  <c r="D28" i="7"/>
  <c r="D33" i="7" s="1"/>
  <c r="E26" i="7"/>
  <c r="D27" i="7"/>
  <c r="C31" i="7"/>
  <c r="C32" i="7" s="1"/>
  <c r="C34" i="7" s="1"/>
  <c r="C38" i="7" s="1"/>
  <c r="Q36" i="7"/>
  <c r="Q38" i="7" s="1"/>
  <c r="E25" i="7"/>
  <c r="F25" i="7" s="1"/>
  <c r="G25" i="7" s="1"/>
  <c r="H25" i="7" s="1"/>
  <c r="I25" i="7" s="1"/>
  <c r="J25" i="7" s="1"/>
  <c r="K25" i="7" s="1"/>
  <c r="L25" i="7" s="1"/>
  <c r="M25" i="7" s="1"/>
  <c r="E18" i="7" l="1"/>
  <c r="E19" i="7" s="1"/>
  <c r="E36" i="7" s="1"/>
  <c r="E37" i="7"/>
  <c r="D29" i="7"/>
  <c r="D31" i="7" s="1"/>
  <c r="E28" i="7"/>
  <c r="E33" i="7" s="1"/>
  <c r="F26" i="7"/>
  <c r="E27" i="7"/>
  <c r="Q39" i="7"/>
  <c r="Q41" i="7" s="1"/>
  <c r="D12" i="7" s="1"/>
  <c r="L39" i="7" l="1"/>
  <c r="D39" i="7"/>
  <c r="I39" i="7"/>
  <c r="G39" i="7"/>
  <c r="F39" i="7"/>
  <c r="M39" i="7"/>
  <c r="K39" i="7"/>
  <c r="J39" i="7"/>
  <c r="H39" i="7"/>
  <c r="E39" i="7"/>
  <c r="E29" i="7"/>
  <c r="E31" i="7" s="1"/>
  <c r="F18" i="7"/>
  <c r="F19" i="7" s="1"/>
  <c r="F36" i="7" s="1"/>
  <c r="F37" i="7"/>
  <c r="F28" i="7"/>
  <c r="F33" i="7" s="1"/>
  <c r="D32" i="7"/>
  <c r="D34" i="7" s="1"/>
  <c r="D38" i="7" s="1"/>
  <c r="F27" i="7"/>
  <c r="G26" i="7"/>
  <c r="G18" i="7" l="1"/>
  <c r="G19" i="7" s="1"/>
  <c r="G36" i="7" s="1"/>
  <c r="G37" i="7"/>
  <c r="E32" i="7"/>
  <c r="E34" i="7" s="1"/>
  <c r="E38" i="7" s="1"/>
  <c r="E40" i="7" s="1"/>
  <c r="D40" i="7"/>
  <c r="G28" i="7"/>
  <c r="G33" i="7" s="1"/>
  <c r="F29" i="7"/>
  <c r="F31" i="7" s="1"/>
  <c r="F32" i="7" s="1"/>
  <c r="F34" i="7" s="1"/>
  <c r="F38" i="7" s="1"/>
  <c r="F40" i="7" s="1"/>
  <c r="G27" i="7"/>
  <c r="H26" i="7"/>
  <c r="H18" i="7" l="1"/>
  <c r="H19" i="7" s="1"/>
  <c r="H36" i="7" s="1"/>
  <c r="H37" i="7"/>
  <c r="H28" i="7"/>
  <c r="H33" i="7" s="1"/>
  <c r="G29" i="7"/>
  <c r="G31" i="7"/>
  <c r="G32" i="7" s="1"/>
  <c r="G34" i="7" s="1"/>
  <c r="G38" i="7" s="1"/>
  <c r="G40" i="7" s="1"/>
  <c r="I26" i="7"/>
  <c r="H27" i="7"/>
  <c r="I18" i="7" l="1"/>
  <c r="I19" i="7" s="1"/>
  <c r="I36" i="7" s="1"/>
  <c r="I37" i="7"/>
  <c r="H29" i="7"/>
  <c r="H31" i="7" s="1"/>
  <c r="H32" i="7" s="1"/>
  <c r="H34" i="7" s="1"/>
  <c r="H38" i="7" s="1"/>
  <c r="H40" i="7" s="1"/>
  <c r="I28" i="7"/>
  <c r="I33" i="7" s="1"/>
  <c r="I27" i="7"/>
  <c r="J26" i="7"/>
  <c r="I29" i="7" l="1"/>
  <c r="I31" i="7" s="1"/>
  <c r="I32" i="7" s="1"/>
  <c r="I34" i="7" s="1"/>
  <c r="I38" i="7" s="1"/>
  <c r="I40" i="7" s="1"/>
  <c r="J18" i="7"/>
  <c r="J19" i="7" s="1"/>
  <c r="J36" i="7" s="1"/>
  <c r="J37" i="7"/>
  <c r="J28" i="7"/>
  <c r="J33" i="7" s="1"/>
  <c r="J27" i="7"/>
  <c r="J29" i="7" s="1"/>
  <c r="K26" i="7"/>
  <c r="K18" i="7" l="1"/>
  <c r="K19" i="7" s="1"/>
  <c r="K36" i="7" s="1"/>
  <c r="K37" i="7"/>
  <c r="K28" i="7"/>
  <c r="K33" i="7" s="1"/>
  <c r="J31" i="7"/>
  <c r="J32" i="7" s="1"/>
  <c r="J34" i="7" s="1"/>
  <c r="J38" i="7" s="1"/>
  <c r="J40" i="7" s="1"/>
  <c r="L26" i="7"/>
  <c r="K27" i="7"/>
  <c r="L18" i="7" l="1"/>
  <c r="L19" i="7" s="1"/>
  <c r="L36" i="7" s="1"/>
  <c r="L37" i="7"/>
  <c r="K29" i="7"/>
  <c r="K31" i="7" s="1"/>
  <c r="K32" i="7" s="1"/>
  <c r="K34" i="7" s="1"/>
  <c r="K38" i="7" s="1"/>
  <c r="K40" i="7" s="1"/>
  <c r="L28" i="7"/>
  <c r="L33" i="7" s="1"/>
  <c r="M26" i="7"/>
  <c r="M27" i="7" s="1"/>
  <c r="L27" i="7"/>
  <c r="M18" i="7" l="1"/>
  <c r="M19" i="7" s="1"/>
  <c r="M36" i="7" s="1"/>
  <c r="M37" i="7"/>
  <c r="L29" i="7"/>
  <c r="L31" i="7" s="1"/>
  <c r="L32" i="7" s="1"/>
  <c r="L34" i="7" s="1"/>
  <c r="L38" i="7" s="1"/>
  <c r="L40" i="7" s="1"/>
  <c r="M28" i="7"/>
  <c r="M33" i="7" s="1"/>
  <c r="M29" i="7" l="1"/>
  <c r="M31" i="7" s="1"/>
  <c r="M32" i="7" s="1"/>
  <c r="M34" i="7" s="1"/>
  <c r="M38" i="7" s="1"/>
  <c r="M40" i="7" l="1"/>
  <c r="C43" i="7" s="1"/>
  <c r="C47" i="7"/>
  <c r="C48" i="7" l="1"/>
  <c r="C49" i="7" s="1"/>
  <c r="C50" i="7" s="1"/>
  <c r="H18" i="10" l="1"/>
  <c r="E47" i="7"/>
  <c r="O26" i="1"/>
  <c r="N26" i="1"/>
  <c r="F12" i="1"/>
  <c r="F11" i="1"/>
  <c r="H11" i="1" s="1"/>
  <c r="N11" i="1" s="1"/>
  <c r="F10" i="1"/>
  <c r="F8" i="1"/>
  <c r="O24" i="1" l="1"/>
  <c r="C52" i="7"/>
  <c r="C54" i="7" s="1"/>
  <c r="H12" i="1"/>
  <c r="O12" i="1" s="1"/>
  <c r="H10" i="1"/>
  <c r="N10" i="1" s="1"/>
  <c r="N24" i="1"/>
  <c r="H8" i="1"/>
  <c r="O8" i="1" s="1"/>
  <c r="O11" i="1"/>
  <c r="C7" i="9" l="1"/>
  <c r="H17" i="10"/>
  <c r="H19" i="10" s="1"/>
  <c r="H21" i="10" s="1"/>
  <c r="E29" i="10" s="1"/>
  <c r="E32" i="10" s="1"/>
  <c r="E34" i="10" s="1"/>
  <c r="E38" i="10" s="1"/>
  <c r="C59" i="7"/>
  <c r="C67" i="7"/>
  <c r="C69" i="7" s="1"/>
  <c r="O10" i="1"/>
  <c r="N8" i="1"/>
  <c r="N12" i="1"/>
  <c r="E41" i="10" l="1"/>
  <c r="C46" i="10" s="1"/>
  <c r="E40" i="10"/>
  <c r="C63" i="7"/>
  <c r="C9" i="9"/>
  <c r="C25" i="9" s="1"/>
  <c r="C62" i="7"/>
  <c r="E55" i="7"/>
  <c r="F9" i="1"/>
  <c r="H9" i="1" s="1"/>
  <c r="D14" i="9" l="1"/>
  <c r="N9" i="1"/>
  <c r="O9" i="1"/>
  <c r="D16" i="9" l="1"/>
  <c r="D22" i="9"/>
  <c r="O14" i="1"/>
  <c r="O15" i="1"/>
  <c r="O17" i="1"/>
  <c r="O23" i="1" s="1"/>
  <c r="O28" i="1" s="1"/>
  <c r="O16" i="1"/>
  <c r="O18" i="1"/>
  <c r="O19" i="1"/>
  <c r="N16" i="1"/>
  <c r="N19" i="1"/>
  <c r="N14" i="1"/>
  <c r="N15" i="1"/>
  <c r="N18" i="1"/>
  <c r="N17" i="1"/>
  <c r="N23" i="1" s="1"/>
  <c r="N28" i="1" l="1"/>
  <c r="N29" i="1" s="1"/>
  <c r="N30" i="1" s="1"/>
  <c r="O29" i="1"/>
  <c r="O30" i="1" s="1"/>
  <c r="N25" i="1"/>
  <c r="O25" i="1"/>
  <c r="O31" i="1" l="1"/>
  <c r="O33" i="1"/>
  <c r="N31" i="1"/>
  <c r="N33" i="1"/>
  <c r="D6" i="11" l="1"/>
  <c r="E6" i="11" s="1"/>
  <c r="O39" i="1"/>
  <c r="O4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G8" authorId="0" shapeId="0" xr:uid="{B64D577E-36E9-4E0B-94A8-DE6014D09F78}">
      <text>
        <r>
          <rPr>
            <b/>
            <sz val="9"/>
            <color indexed="81"/>
            <rFont val="Tahoma"/>
            <family val="2"/>
          </rPr>
          <t>Anvay:</t>
        </r>
        <r>
          <rPr>
            <sz val="9"/>
            <color indexed="81"/>
            <rFont val="Tahoma"/>
            <family val="2"/>
          </rPr>
          <t xml:space="preserve">
Screener.in 
Debt-Cash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D15" authorId="0" shapeId="0" xr:uid="{38170468-D46D-40DA-B944-B151CB4BDF12}">
      <text>
        <r>
          <rPr>
            <b/>
            <sz val="9"/>
            <color indexed="81"/>
            <rFont val="Tahoma"/>
            <family val="2"/>
          </rPr>
          <t>Anvay:</t>
        </r>
        <r>
          <rPr>
            <sz val="9"/>
            <color indexed="81"/>
            <rFont val="Tahoma"/>
            <family val="2"/>
          </rPr>
          <t xml:space="preserve">
A large part of QSR D&amp;A is fixed lease amortization (Ind AS 116). As stores mature and SSSG improves, D&amp;A as % of revenue declines, modeled from 12.5% (LTM) to 10.5% (terminal).</t>
        </r>
      </text>
    </comment>
    <comment ref="B16" authorId="0" shapeId="0" xr:uid="{4A6CF5D7-98C2-431C-A32C-916016EBC44B}">
      <text>
        <r>
          <rPr>
            <b/>
            <sz val="9"/>
            <color indexed="81"/>
            <rFont val="Tahoma"/>
            <family val="2"/>
          </rPr>
          <t>Anvay:</t>
        </r>
        <r>
          <rPr>
            <sz val="9"/>
            <color indexed="81"/>
            <rFont val="Tahoma"/>
            <family val="2"/>
          </rPr>
          <t xml:space="preserve">
Capex is linked to revenue, as store rollout drives QSR growth. Higher % in FY27–30 reflects post-merger expansion.</t>
        </r>
      </text>
    </comment>
    <comment ref="B17" authorId="0" shapeId="0" xr:uid="{1CD3E86E-EFCD-42BA-8B4D-3FE252DB0C38}">
      <text>
        <r>
          <rPr>
            <b/>
            <sz val="9"/>
            <color indexed="81"/>
            <rFont val="Tahoma"/>
            <family val="2"/>
          </rPr>
          <t>Anvay:</t>
        </r>
        <r>
          <rPr>
            <sz val="9"/>
            <color indexed="81"/>
            <rFont val="Tahoma"/>
            <family val="2"/>
          </rPr>
          <t xml:space="preserve">
QSR models generate negative working capital due to upfront customer payments and delayed supplier payouts. A 4.5% NWC-to-sales ratio is used for SFIL, reflecting efficient payables and cash generation as revenue scales</t>
        </r>
      </text>
    </comment>
    <comment ref="Q24" authorId="0" shapeId="0" xr:uid="{DA4E79D6-E754-45EC-BC67-14C4EAEC84EE}">
      <text>
        <r>
          <rPr>
            <b/>
            <sz val="9"/>
            <color indexed="81"/>
            <rFont val="Tahoma"/>
            <family val="2"/>
          </rPr>
          <t>Anvay:</t>
        </r>
        <r>
          <rPr>
            <sz val="9"/>
            <color indexed="81"/>
            <rFont val="Tahoma"/>
            <family val="2"/>
          </rPr>
          <t xml:space="preserve">
The Risk Free Rate (6.53%) represents the current yield on India’s 10 Year Government Bond. Using this as a proxy is standard practice since its long duration matches the long-term nature of the DCF model.</t>
        </r>
      </text>
    </comment>
    <comment ref="Q25" authorId="0" shapeId="0" xr:uid="{AD3E0BF8-0263-43FD-9CBE-A50AAC35B64C}">
      <text>
        <r>
          <rPr>
            <b/>
            <sz val="9"/>
            <color indexed="81"/>
            <rFont val="Tahoma"/>
            <family val="2"/>
          </rPr>
          <t>Anvay:</t>
        </r>
        <r>
          <rPr>
            <sz val="9"/>
            <color indexed="81"/>
            <rFont val="Tahoma"/>
            <family val="2"/>
          </rPr>
          <t xml:space="preserve">
The Equity Risk Premium (7.26%) is based on the India specific premium published by Professor Aswath Damodaran (NYU Stern). His data is considered a globally recognized and standard source for corporate valuation.</t>
        </r>
      </text>
    </comment>
    <comment ref="Q26" authorId="0" shapeId="0" xr:uid="{5855CCA7-9A38-40B0-96D0-93B4A4EC6330}">
      <text>
        <r>
          <rPr>
            <b/>
            <sz val="9"/>
            <color indexed="81"/>
            <rFont val="Tahoma"/>
            <family val="2"/>
          </rPr>
          <t>Anvay:</t>
        </r>
        <r>
          <rPr>
            <sz val="9"/>
            <color indexed="81"/>
            <rFont val="Tahoma"/>
            <family val="2"/>
          </rPr>
          <t xml:space="preserve">
1.06: Cited by TradingView (NSE: SAPPHIRE).
</t>
        </r>
      </text>
    </comment>
    <comment ref="Q27" authorId="0" shapeId="0" xr:uid="{65E8FBBA-5031-4876-A669-2D1C877DD57F}">
      <text>
        <r>
          <rPr>
            <b/>
            <sz val="9"/>
            <color indexed="81"/>
            <rFont val="Tahoma"/>
            <family val="2"/>
          </rPr>
          <t>Anvay:</t>
        </r>
        <r>
          <rPr>
            <sz val="9"/>
            <color indexed="81"/>
            <rFont val="Tahoma"/>
            <family val="2"/>
          </rPr>
          <t xml:space="preserve">
A 1.25% alpha is added since Sapphire is currently loss-making (₹12.8 Cr), creating PE overhang risk.</t>
        </r>
      </text>
    </comment>
    <comment ref="Q30" authorId="0" shapeId="0" xr:uid="{2E21E1AA-3D79-417A-84B3-EEFCFA742E47}">
      <text>
        <r>
          <rPr>
            <b/>
            <sz val="9"/>
            <color indexed="81"/>
            <rFont val="Tahoma"/>
            <family val="2"/>
          </rPr>
          <t>Anvay:</t>
        </r>
        <r>
          <rPr>
            <sz val="9"/>
            <color indexed="81"/>
            <rFont val="Tahoma"/>
            <family val="2"/>
          </rPr>
          <t xml:space="preserve">
P&amp;L Interest 2025/Debt
</t>
        </r>
      </text>
    </comment>
    <comment ref="Q31" authorId="0" shapeId="0" xr:uid="{FF7D756B-E1E2-483F-B88F-E6973AAE28A6}">
      <text>
        <r>
          <rPr>
            <b/>
            <sz val="9"/>
            <color indexed="81"/>
            <rFont val="Tahoma"/>
            <family val="2"/>
          </rPr>
          <t>Anvay:</t>
        </r>
        <r>
          <rPr>
            <sz val="9"/>
            <color indexed="81"/>
            <rFont val="Tahoma"/>
            <family val="2"/>
          </rPr>
          <t xml:space="preserve">
A 25% marginal tax rate is assumed, in line with India’s current corporate tax rates. </t>
        </r>
      </text>
    </comment>
    <comment ref="Q34" authorId="0" shapeId="0" xr:uid="{BB5DB2CC-CBBD-4623-AFE3-870EBECC9FFF}">
      <text>
        <r>
          <rPr>
            <b/>
            <sz val="9"/>
            <color indexed="81"/>
            <rFont val="Tahoma"/>
            <family val="2"/>
          </rPr>
          <t>Anvay:</t>
        </r>
        <r>
          <rPr>
            <sz val="9"/>
            <color indexed="81"/>
            <rFont val="Tahoma"/>
            <family val="2"/>
          </rPr>
          <t xml:space="preserve">
Market Cap
</t>
        </r>
        <r>
          <rPr>
            <sz val="8"/>
            <color indexed="81"/>
            <rFont val="Tahoma"/>
            <family val="2"/>
          </rPr>
          <t>Screener.in</t>
        </r>
      </text>
    </comment>
    <comment ref="C36" authorId="0" shapeId="0" xr:uid="{1544E1C0-44FC-4760-90C1-2DECD87E5777}">
      <text>
        <r>
          <rPr>
            <b/>
            <sz val="9"/>
            <color indexed="81"/>
            <rFont val="Tahoma"/>
            <family val="2"/>
          </rPr>
          <t>Anvay:</t>
        </r>
        <r>
          <rPr>
            <sz val="9"/>
            <color indexed="81"/>
            <rFont val="Tahoma"/>
            <family val="2"/>
          </rPr>
          <t xml:space="preserve">
QSR models typically have negative working capital due to upfront cash collections and delayed supplier payments. SFIL reported ₹14.4 Cr WC outflow in FY25, while NWC remained flat in H1 FY26. Adjusting for LTM gives ~₹7–8 Cr, rounded to ₹9.5 Cr (conservative)</t>
        </r>
      </text>
    </comment>
    <comment ref="C37" authorId="0" shapeId="0" xr:uid="{E661AAA0-64CA-46C9-9EF4-0CD9A52CDAC7}">
      <text>
        <r>
          <rPr>
            <b/>
            <sz val="9"/>
            <color indexed="81"/>
            <rFont val="Tahoma"/>
            <family val="2"/>
          </rPr>
          <t>Anvay:</t>
        </r>
        <r>
          <rPr>
            <sz val="9"/>
            <color indexed="81"/>
            <rFont val="Tahoma"/>
            <family val="2"/>
          </rPr>
          <t xml:space="preserve">
Although growing companies usually have Capex &gt; Depreciation, SFIL’s LTM shows higher Depreciation due to Ind AS 116 lease accounting, where RoU asset amortization inflates D&amp;A. At the same time, Capex is lower due to a consumption slowdown and measured store expansion. This is a temporary phase and normal for QSR models</t>
        </r>
      </text>
    </comment>
    <comment ref="F47" authorId="0" shapeId="0" xr:uid="{2711E4D5-38AB-4DB5-AE36-1E21AB132C46}">
      <text>
        <r>
          <rPr>
            <b/>
            <sz val="9"/>
            <color indexed="81"/>
            <rFont val="Tahoma"/>
            <family val="2"/>
          </rPr>
          <t>Anvay:</t>
        </r>
        <r>
          <rPr>
            <sz val="9"/>
            <color indexed="81"/>
            <rFont val="Tahoma"/>
            <family val="2"/>
          </rPr>
          <t xml:space="preserve">
Wacc
</t>
        </r>
      </text>
    </comment>
    <comment ref="E48" authorId="0" shapeId="0" xr:uid="{A4EBC31C-EAA7-4FD7-8566-3EE2F027B3A3}">
      <text>
        <r>
          <rPr>
            <b/>
            <sz val="9"/>
            <color indexed="81"/>
            <rFont val="Tahoma"/>
            <family val="2"/>
          </rPr>
          <t>Anvay:</t>
        </r>
        <r>
          <rPr>
            <sz val="9"/>
            <color indexed="81"/>
            <rFont val="Tahoma"/>
            <family val="2"/>
          </rPr>
          <t xml:space="preserve">
Terminal Grwoth Rate
</t>
        </r>
      </text>
    </comment>
    <comment ref="Q48" authorId="0" shapeId="0" xr:uid="{57CD22C4-BE2C-48C9-97DE-85D51B68677D}">
      <text>
        <r>
          <rPr>
            <b/>
            <sz val="9"/>
            <color indexed="81"/>
            <rFont val="Tahoma"/>
            <family val="2"/>
          </rPr>
          <t>Anvay:</t>
        </r>
        <r>
          <rPr>
            <sz val="9"/>
            <color indexed="81"/>
            <rFont val="Tahoma"/>
            <family val="2"/>
          </rPr>
          <t xml:space="preserve">
From Sapphire Annual Report 2025
</t>
        </r>
      </text>
    </comment>
    <comment ref="C51" authorId="0" shapeId="0" xr:uid="{312DBBC7-4E4C-4680-B490-18434345BC5F}">
      <text>
        <r>
          <rPr>
            <b/>
            <sz val="9"/>
            <color indexed="81"/>
            <rFont val="Tahoma"/>
            <family val="2"/>
          </rPr>
          <t>Anvay:</t>
        </r>
        <r>
          <rPr>
            <sz val="9"/>
            <color indexed="81"/>
            <rFont val="Tahoma"/>
            <family val="2"/>
          </rPr>
          <t xml:space="preserve">
Investment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D13" authorId="0" shapeId="0" xr:uid="{07861D36-485F-4A8B-A44C-8A066D66C63C}">
      <text>
        <r>
          <rPr>
            <b/>
            <sz val="9"/>
            <color indexed="81"/>
            <rFont val="Tahoma"/>
            <family val="2"/>
          </rPr>
          <t>Anvay:</t>
        </r>
        <r>
          <rPr>
            <sz val="9"/>
            <color indexed="81"/>
            <rFont val="Tahoma"/>
            <family val="2"/>
          </rPr>
          <t xml:space="preserve">
Phase 1 (FY26–28): DIL reported 12.6% growth in Q2 FY26. Post-merger, the addition of SFIL’s South India and Sri Lanka footprint strengthens distribution. Growth is scaled to 16%, supported by combined cash flows funding 300–400 new stores.</t>
        </r>
      </text>
    </comment>
    <comment ref="G13" authorId="0" shapeId="0" xr:uid="{CBA3BEA6-4049-462F-AC76-1DC8EAF2FA65}">
      <text>
        <r>
          <rPr>
            <b/>
            <sz val="9"/>
            <color indexed="81"/>
            <rFont val="Tahoma"/>
            <family val="2"/>
          </rPr>
          <t>Anvay:</t>
        </r>
        <r>
          <rPr>
            <sz val="9"/>
            <color indexed="81"/>
            <rFont val="Tahoma"/>
            <family val="2"/>
          </rPr>
          <t xml:space="preserve">
As the market matures, growth rates gradually taper to single digits, with a 6% terminal growth.</t>
        </r>
      </text>
    </comment>
    <comment ref="E14" authorId="0" shapeId="0" xr:uid="{DD22C3E7-698D-4CC2-9363-BCDDE12CA1D2}">
      <text>
        <r>
          <rPr>
            <b/>
            <sz val="9"/>
            <color indexed="81"/>
            <rFont val="Tahoma"/>
            <family val="2"/>
          </rPr>
          <t>Anvay:</t>
        </r>
        <r>
          <rPr>
            <sz val="9"/>
            <color indexed="81"/>
            <rFont val="Tahoma"/>
            <family val="2"/>
          </rPr>
          <t xml:space="preserve">
Management targets ₹210–225 Cr in annual synergies by FY29, which should lift margins and help DIL return to its historical 19–20% range.</t>
        </r>
      </text>
    </comment>
    <comment ref="B15" authorId="0" shapeId="0" xr:uid="{97F2DD3A-E93F-495E-BF67-4CBF5BA3F7AF}">
      <text>
        <r>
          <rPr>
            <b/>
            <sz val="9"/>
            <color indexed="81"/>
            <rFont val="Tahoma"/>
            <family val="2"/>
          </rPr>
          <t>Anvay:</t>
        </r>
        <r>
          <rPr>
            <sz val="9"/>
            <color indexed="81"/>
            <rFont val="Tahoma"/>
            <family val="2"/>
          </rPr>
          <t xml:space="preserve">
DIL’s aggressive capex keeps depreciation elevated (~13%) in the near term. As stores mature and revenue scales, fixed cost leverage reduces D&amp;A to ~10.5% in the terminal phase.</t>
        </r>
      </text>
    </comment>
    <comment ref="B17" authorId="0" shapeId="0" xr:uid="{5569FB8B-81BC-4761-AAD4-D932CC784116}">
      <text>
        <r>
          <rPr>
            <b/>
            <sz val="9"/>
            <color indexed="81"/>
            <rFont val="Tahoma"/>
            <family val="2"/>
          </rPr>
          <t>Anvay:</t>
        </r>
        <r>
          <rPr>
            <sz val="9"/>
            <color indexed="81"/>
            <rFont val="Tahoma"/>
            <family val="2"/>
          </rPr>
          <t xml:space="preserve">
QSR models operate with negative working capital; DIL’s NWC-to-sales is slightly better (around -4%) than SFIL’s.</t>
        </r>
      </text>
    </comment>
    <comment ref="Q24" authorId="0" shapeId="0" xr:uid="{708CAAFD-6564-4E42-BF57-3FDB013518D6}">
      <text>
        <r>
          <rPr>
            <b/>
            <sz val="9"/>
            <color indexed="81"/>
            <rFont val="Tahoma"/>
            <family val="2"/>
          </rPr>
          <t>Anvay:</t>
        </r>
        <r>
          <rPr>
            <sz val="9"/>
            <color indexed="81"/>
            <rFont val="Tahoma"/>
            <family val="2"/>
          </rPr>
          <t xml:space="preserve">
The Risk Free Rate (6.53%) represents the current yield on India’s 10 Year Government Bond. Using this as a proxy is standard practice since its long duration matches the long-term nature of the DCF model.</t>
        </r>
      </text>
    </comment>
    <comment ref="Q25" authorId="0" shapeId="0" xr:uid="{3C6DCE36-F27F-473D-8D96-5243857BB127}">
      <text>
        <r>
          <rPr>
            <b/>
            <sz val="9"/>
            <color indexed="81"/>
            <rFont val="Tahoma"/>
            <family val="2"/>
          </rPr>
          <t>Anvay:</t>
        </r>
        <r>
          <rPr>
            <sz val="9"/>
            <color indexed="81"/>
            <rFont val="Tahoma"/>
            <family val="2"/>
          </rPr>
          <t xml:space="preserve">
The Equity Risk Premium (7.26%) is based on the India specific premium published by Professor Aswath Damodaran (NYU Stern). His data is considered a globally recognized and standard source for corporate valuation.</t>
        </r>
      </text>
    </comment>
    <comment ref="Q26" authorId="0" shapeId="0" xr:uid="{7A6CA4F4-C88D-4C8F-8328-65C848BCB79A}">
      <text>
        <r>
          <rPr>
            <b/>
            <sz val="9"/>
            <color indexed="81"/>
            <rFont val="Tahoma"/>
            <family val="2"/>
          </rPr>
          <t>Anvay:</t>
        </r>
        <r>
          <rPr>
            <sz val="9"/>
            <color indexed="81"/>
            <rFont val="Tahoma"/>
            <family val="2"/>
          </rPr>
          <t xml:space="preserve">
1.26: Cited by TradingView (NSE: SAPPHIRE).</t>
        </r>
      </text>
    </comment>
    <comment ref="Q27" authorId="0" shapeId="0" xr:uid="{6C28FB84-25F4-4CE6-BB18-7E7FA5B49DE9}">
      <text>
        <r>
          <rPr>
            <b/>
            <sz val="9"/>
            <color indexed="81"/>
            <rFont val="Tahoma"/>
            <family val="2"/>
          </rPr>
          <t>Anvay:</t>
        </r>
        <r>
          <rPr>
            <sz val="9"/>
            <color indexed="81"/>
            <rFont val="Tahoma"/>
            <family val="2"/>
          </rPr>
          <t xml:space="preserve">
Alpha of 1.25% is used for Sapphire; for Devyani, 0–0.5% is assumed due to lower risk from promoter pedigree and scale.</t>
        </r>
      </text>
    </comment>
    <comment ref="Q30" authorId="0" shapeId="0" xr:uid="{937CC18C-63F7-46F3-B683-5B7C767EF35A}">
      <text>
        <r>
          <rPr>
            <b/>
            <sz val="9"/>
            <color indexed="81"/>
            <rFont val="Tahoma"/>
            <family val="2"/>
          </rPr>
          <t>Anvay:</t>
        </r>
        <r>
          <rPr>
            <sz val="9"/>
            <color indexed="81"/>
            <rFont val="Tahoma"/>
            <family val="2"/>
          </rPr>
          <t xml:space="preserve">
P&amp;L Interest 2025/Debt
</t>
        </r>
      </text>
    </comment>
    <comment ref="Q31" authorId="0" shapeId="0" xr:uid="{31182D1D-7D52-44C8-80AF-47E3D4FF20FA}">
      <text>
        <r>
          <rPr>
            <b/>
            <sz val="9"/>
            <color indexed="81"/>
            <rFont val="Tahoma"/>
            <family val="2"/>
          </rPr>
          <t>Anvay:</t>
        </r>
        <r>
          <rPr>
            <sz val="9"/>
            <color indexed="81"/>
            <rFont val="Tahoma"/>
            <family val="2"/>
          </rPr>
          <t xml:space="preserve">
A 25% marginal tax rate is assumed, in line with India’s current corporate tax rates.</t>
        </r>
      </text>
    </comment>
    <comment ref="Q34" authorId="0" shapeId="0" xr:uid="{D08AD923-42BE-45EE-AD98-9BFB49F0A660}">
      <text>
        <r>
          <rPr>
            <b/>
            <sz val="9"/>
            <color indexed="81"/>
            <rFont val="Tahoma"/>
            <family val="2"/>
          </rPr>
          <t>Anvay:</t>
        </r>
        <r>
          <rPr>
            <sz val="9"/>
            <color indexed="81"/>
            <rFont val="Tahoma"/>
            <family val="2"/>
          </rPr>
          <t xml:space="preserve">
Market Cap
</t>
        </r>
        <r>
          <rPr>
            <sz val="8"/>
            <color indexed="81"/>
            <rFont val="Tahoma"/>
            <family val="2"/>
          </rPr>
          <t>Screener.in</t>
        </r>
      </text>
    </comment>
    <comment ref="Q35" authorId="0" shapeId="0" xr:uid="{37217A0C-CC2D-4D44-AFF9-EF022816C744}">
      <text>
        <r>
          <rPr>
            <b/>
            <sz val="9"/>
            <color indexed="81"/>
            <rFont val="Tahoma"/>
            <family val="2"/>
          </rPr>
          <t>Anvay:</t>
        </r>
        <r>
          <rPr>
            <sz val="9"/>
            <color indexed="81"/>
            <rFont val="Tahoma"/>
            <family val="2"/>
          </rPr>
          <t xml:space="preserve">
Debt
</t>
        </r>
        <r>
          <rPr>
            <sz val="8"/>
            <color indexed="81"/>
            <rFont val="Tahoma"/>
            <family val="2"/>
          </rPr>
          <t>Screener.in</t>
        </r>
      </text>
    </comment>
    <comment ref="C36" authorId="0" shapeId="0" xr:uid="{075E92C3-748D-493E-85BD-D3642E253FA3}">
      <text>
        <r>
          <rPr>
            <b/>
            <sz val="9"/>
            <color indexed="81"/>
            <rFont val="Tahoma"/>
            <family val="2"/>
          </rPr>
          <t>Anvay:</t>
        </r>
        <r>
          <rPr>
            <sz val="9"/>
            <color indexed="81"/>
            <rFont val="Tahoma"/>
            <family val="2"/>
          </rPr>
          <t xml:space="preserve">
DIL has higher revenue (₹5,241 Cr), so working capital movements can be larger. A conservative assumption of ₹20 Cr outflow is used, versus ₹10 Cr for SFIL.</t>
        </r>
      </text>
    </comment>
    <comment ref="C37" authorId="0" shapeId="0" xr:uid="{2786188A-22AC-421D-9AAA-8464545A7915}">
      <text>
        <r>
          <rPr>
            <b/>
            <sz val="9"/>
            <color indexed="81"/>
            <rFont val="Tahoma"/>
            <family val="2"/>
          </rPr>
          <t>Anvay:</t>
        </r>
        <r>
          <rPr>
            <sz val="9"/>
            <color indexed="81"/>
            <rFont val="Tahoma"/>
            <family val="2"/>
          </rPr>
          <t xml:space="preserve">
DIL follows an aggressive expansion strategy, opening 100+ stores in H1 FY26. Capex is assumed at ~75% of LTM EBITDA (₹797 Cr), implying ~₹600 Cr, reflecting higher scale and growth versus SFIL
</t>
        </r>
      </text>
    </comment>
    <comment ref="F47" authorId="0" shapeId="0" xr:uid="{D03CD720-F752-4B16-8D31-DA4774F8C6F4}">
      <text>
        <r>
          <rPr>
            <b/>
            <sz val="9"/>
            <color indexed="81"/>
            <rFont val="Tahoma"/>
            <family val="2"/>
          </rPr>
          <t>Anvay:</t>
        </r>
        <r>
          <rPr>
            <sz val="9"/>
            <color indexed="81"/>
            <rFont val="Tahoma"/>
            <family val="2"/>
          </rPr>
          <t xml:space="preserve">
Wacc
</t>
        </r>
      </text>
    </comment>
    <comment ref="E48" authorId="0" shapeId="0" xr:uid="{1865802A-ABF5-4721-99D8-86C6140808D4}">
      <text>
        <r>
          <rPr>
            <b/>
            <sz val="9"/>
            <color indexed="81"/>
            <rFont val="Tahoma"/>
            <family val="2"/>
          </rPr>
          <t>Anvay:</t>
        </r>
        <r>
          <rPr>
            <sz val="9"/>
            <color indexed="81"/>
            <rFont val="Tahoma"/>
            <family val="2"/>
          </rPr>
          <t xml:space="preserve">
Terminal Grwoth Rate
</t>
        </r>
      </text>
    </comment>
    <comment ref="Q48" authorId="0" shapeId="0" xr:uid="{ED0FEC24-B225-4266-8108-6D32711F2C9E}">
      <text>
        <r>
          <rPr>
            <b/>
            <sz val="9"/>
            <color indexed="81"/>
            <rFont val="Tahoma"/>
            <family val="2"/>
          </rPr>
          <t>Anvay:</t>
        </r>
        <r>
          <rPr>
            <sz val="9"/>
            <color indexed="81"/>
            <rFont val="Tahoma"/>
            <family val="2"/>
          </rPr>
          <t xml:space="preserve">
From Devyani Int LTD Annual Report 2025
</t>
        </r>
      </text>
    </comment>
    <comment ref="C51" authorId="0" shapeId="0" xr:uid="{59103221-4ED4-45A5-B978-5492969D0147}">
      <text>
        <r>
          <rPr>
            <b/>
            <sz val="9"/>
            <color indexed="81"/>
            <rFont val="Tahoma"/>
            <family val="2"/>
          </rPr>
          <t>Anvay:</t>
        </r>
        <r>
          <rPr>
            <sz val="9"/>
            <color indexed="81"/>
            <rFont val="Tahoma"/>
            <family val="2"/>
          </rPr>
          <t xml:space="preserve">
Investment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E16" authorId="0" shapeId="0" xr:uid="{E1920A9A-6375-44ED-A377-57E7AB32E2C1}">
      <text>
        <r>
          <rPr>
            <b/>
            <sz val="9"/>
            <color indexed="81"/>
            <rFont val="Tahoma"/>
            <family val="2"/>
          </rPr>
          <t>Anvay:</t>
        </r>
        <r>
          <rPr>
            <sz val="9"/>
            <color indexed="81"/>
            <rFont val="Tahoma"/>
            <family val="2"/>
          </rPr>
          <t xml:space="preserve">
Sir, standalone DCF sirf current cash flows dekhta hai. Devyani acquirer hai aur unka reinvestment rate (Capex) bohot high hai, isliye unki standalone DCF value dabi hui hai. Agreed ratio (1.77) market-determined pricing aur potential synergies par based hai, jo standalone DCF captures nahi kar paata. Isliye, relative valuation aur swap ratio comparison deal ko fair prove karte hain</t>
        </r>
      </text>
    </comment>
    <comment ref="D20" authorId="0" shapeId="0" xr:uid="{25046A80-BDF4-4EE3-981B-1025521B0037}">
      <text>
        <r>
          <rPr>
            <b/>
            <sz val="9"/>
            <color indexed="81"/>
            <rFont val="Tahoma"/>
            <family val="2"/>
          </rPr>
          <t>Anvay:</t>
        </r>
        <r>
          <rPr>
            <sz val="9"/>
            <color indexed="81"/>
            <rFont val="Tahoma"/>
            <family val="2"/>
          </rPr>
          <t xml:space="preserve">
CMP</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Anvay</author>
    <author>Author</author>
  </authors>
  <commentList>
    <comment ref="H14" authorId="0" shapeId="0" xr:uid="{969786CB-3EBF-4B67-BD6C-7C854278CCE2}">
      <text>
        <r>
          <rPr>
            <b/>
            <sz val="9"/>
            <color indexed="81"/>
            <rFont val="Tahoma"/>
            <family val="2"/>
          </rPr>
          <t>Anvay:</t>
        </r>
        <r>
          <rPr>
            <sz val="9"/>
            <color indexed="81"/>
            <rFont val="Tahoma"/>
            <family val="2"/>
          </rPr>
          <t xml:space="preserve">
note daal sakte hain ki Year 1 (FY27) mein sirf 20-30% synergy realize hogi, aur FY29 tak full ₹225 Cr achieve hogi.</t>
        </r>
      </text>
    </comment>
    <comment ref="D20" authorId="0" shapeId="0" xr:uid="{B1FBA734-7CA0-4552-95D9-8CA67794371A}">
      <text>
        <r>
          <rPr>
            <b/>
            <sz val="9"/>
            <color indexed="81"/>
            <rFont val="Tahoma"/>
            <family val="2"/>
          </rPr>
          <t>Anvay:</t>
        </r>
        <r>
          <rPr>
            <sz val="9"/>
            <color indexed="81"/>
            <rFont val="Tahoma"/>
            <family val="2"/>
          </rPr>
          <t xml:space="preserve">
Even in a 100% stock swap, an implied offer value is calculated. Devyani issues shares (not cash) to Sapphire shareholders, but those shares have market value. At a DIL price of ₹133 and a 1.77x ratio, the implied price is ₹235.4 per SFIL share. Multiplying this by ~33 Cr shares gives an offer value of ₹7,767 Cr. This implied value is used to calculate advisory fees, goodwill/asset write-ups, and the premium paid over market price.</t>
        </r>
      </text>
    </comment>
    <comment ref="H23" authorId="1" shapeId="0" xr:uid="{8C9A29EF-A2C1-4DC7-B51D-7FE9C77690CD}">
      <text>
        <r>
          <rPr>
            <b/>
            <sz val="9"/>
            <color indexed="81"/>
            <rFont val="Tahoma"/>
            <family val="2"/>
          </rPr>
          <t>Author:</t>
        </r>
        <r>
          <rPr>
            <sz val="9"/>
            <color indexed="81"/>
            <rFont val="Tahoma"/>
            <family val="2"/>
          </rPr>
          <t xml:space="preserve">
Transaction advisory fees (investment bankers, legal, and accounting) are assumed at 1–2% of deal value, in line with standard M&amp;A practice.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F6" authorId="0" shapeId="0" xr:uid="{354FF049-D774-48E6-B9BD-B37C77010396}">
      <text>
        <r>
          <rPr>
            <b/>
            <sz val="9"/>
            <color indexed="81"/>
            <rFont val="Tahoma"/>
            <family val="2"/>
          </rPr>
          <t>Anvay:</t>
        </r>
        <r>
          <rPr>
            <sz val="9"/>
            <color indexed="81"/>
            <rFont val="Tahoma"/>
            <family val="2"/>
          </rPr>
          <t xml:space="preserve">
Based on market multiples, Sapphire’s fair value ranges from ₹252 to ₹279, with an average of ₹265. The offer price of ₹262 is close to this average, indicating a fair deal.</t>
        </r>
      </text>
    </comment>
    <comment ref="F7" authorId="0" shapeId="0" xr:uid="{25BA31A6-1CFC-4C84-9F6A-04A7D5C81BBD}">
      <text>
        <r>
          <rPr>
            <b/>
            <sz val="9"/>
            <color indexed="81"/>
            <rFont val="Tahoma"/>
            <family val="2"/>
          </rPr>
          <t>Anvay:</t>
        </r>
        <r>
          <rPr>
            <sz val="9"/>
            <color indexed="81"/>
            <rFont val="Tahoma"/>
            <family val="2"/>
          </rPr>
          <t xml:space="preserve">
Just before the merger announcement, Sapphire was trading near ₹262 levels</t>
        </r>
      </text>
    </comment>
  </commentList>
</comments>
</file>

<file path=xl/sharedStrings.xml><?xml version="1.0" encoding="utf-8"?>
<sst xmlns="http://schemas.openxmlformats.org/spreadsheetml/2006/main" count="314" uniqueCount="212">
  <si>
    <t>Financial</t>
  </si>
  <si>
    <t>Valuataion</t>
  </si>
  <si>
    <t>Company</t>
  </si>
  <si>
    <t>Share Price</t>
  </si>
  <si>
    <t>Shares Outstanding</t>
  </si>
  <si>
    <t>Equity
Value</t>
  </si>
  <si>
    <t>Net Debt</t>
  </si>
  <si>
    <t>Enterprise Value</t>
  </si>
  <si>
    <t>Revenue</t>
  </si>
  <si>
    <t>EBITDA</t>
  </si>
  <si>
    <t>Net Income</t>
  </si>
  <si>
    <t>EV/Revenue</t>
  </si>
  <si>
    <t>EV/EBITDA</t>
  </si>
  <si>
    <t>High</t>
  </si>
  <si>
    <t>75th Percentile</t>
  </si>
  <si>
    <t xml:space="preserve">Average </t>
  </si>
  <si>
    <t>Median</t>
  </si>
  <si>
    <t>25th Percentile</t>
  </si>
  <si>
    <t>Low</t>
  </si>
  <si>
    <t>Implied Enterprise Value</t>
  </si>
  <si>
    <t xml:space="preserve">Net Debt </t>
  </si>
  <si>
    <t>Implied Market Value</t>
  </si>
  <si>
    <t>Implied Value per Share</t>
  </si>
  <si>
    <t>Devyani International (DIL)</t>
  </si>
  <si>
    <t>Sapphire Foods (SFIL)</t>
  </si>
  <si>
    <t>Restaurant Brands Asia (Burger King)</t>
  </si>
  <si>
    <t>Westlife Foodworld (McDonald’s)</t>
  </si>
  <si>
    <t>Jubilant FoodWorks (Domino's)</t>
  </si>
  <si>
    <t>SFIL Implied Valuation (Fairness Check)</t>
  </si>
  <si>
    <t>New Enterprise Value</t>
  </si>
  <si>
    <t>New Implied Market Value</t>
  </si>
  <si>
    <t>New Implied Value per Share</t>
  </si>
  <si>
    <t>Particular</t>
  </si>
  <si>
    <t>Agreed Swap Ratio</t>
  </si>
  <si>
    <t>Implied Offer Price (SFIL)</t>
  </si>
  <si>
    <t>SFIL Fair Value (Your Model)</t>
  </si>
  <si>
    <t>Deal Premium (%)</t>
  </si>
  <si>
    <t>Value</t>
  </si>
  <si>
    <t>Illiquidity Discount (10%)</t>
  </si>
  <si>
    <t>Illiquidity Discount Adjustment</t>
  </si>
  <si>
    <t>Key Assumptions</t>
  </si>
  <si>
    <t>WACC</t>
  </si>
  <si>
    <t>Actual</t>
  </si>
  <si>
    <t>Forecast Period</t>
  </si>
  <si>
    <t>Period (T)</t>
  </si>
  <si>
    <t>Mid Year</t>
  </si>
  <si>
    <t>Weight of Debt</t>
  </si>
  <si>
    <t>Weight of Equity</t>
  </si>
  <si>
    <t>NOPAT</t>
  </si>
  <si>
    <t>Less: Reinvestment</t>
  </si>
  <si>
    <t>Change in Working Capital</t>
  </si>
  <si>
    <t>Free Cash Flow to Firm (FCFF)</t>
  </si>
  <si>
    <t>Discount Rate (r) WACC</t>
  </si>
  <si>
    <t>PV of Cash Flow</t>
  </si>
  <si>
    <t>Present Value of FCFF</t>
  </si>
  <si>
    <t>DCF Value (Equity Value)</t>
  </si>
  <si>
    <t>Capex</t>
  </si>
  <si>
    <t>Discounted Cash Flow Model</t>
  </si>
  <si>
    <t>All Figures In Cr (₹)</t>
  </si>
  <si>
    <t>Calculation of Discount Rate</t>
  </si>
  <si>
    <t>Calculation of Cost (Ke)</t>
  </si>
  <si>
    <t>Risk Free Rate</t>
  </si>
  <si>
    <t>ERP</t>
  </si>
  <si>
    <t>Beta</t>
  </si>
  <si>
    <t>Cost of Equity (Ke)</t>
  </si>
  <si>
    <t xml:space="preserve"> </t>
  </si>
  <si>
    <t>Less: Depreciation &amp; Amortization</t>
  </si>
  <si>
    <t>Cost of Debt (Pre Tax)</t>
  </si>
  <si>
    <t>EBIT</t>
  </si>
  <si>
    <t>Tax Rate (Marginal Tax Rate)</t>
  </si>
  <si>
    <t>Cost of Debt - Kd (Post Tax)</t>
  </si>
  <si>
    <t>Add: Depreciation &amp; Amortization</t>
  </si>
  <si>
    <t>Total Market Value of Equity</t>
  </si>
  <si>
    <t>Total Market Value of Capital</t>
  </si>
  <si>
    <t>Sensitivity Analysis Enterprise Value</t>
  </si>
  <si>
    <t>Outstanding Shares</t>
  </si>
  <si>
    <t>ESOPS</t>
  </si>
  <si>
    <t>Total No. of Share</t>
  </si>
  <si>
    <t>Sensitivity Analysis Equity Value per Share</t>
  </si>
  <si>
    <t xml:space="preserve">Add: Other Non Operating Assets </t>
  </si>
  <si>
    <t xml:space="preserve">Less: Minority Interest </t>
  </si>
  <si>
    <t>Equity Value per Share</t>
  </si>
  <si>
    <t>No of Share</t>
  </si>
  <si>
    <t>Value per Share</t>
  </si>
  <si>
    <t>Current Market Price</t>
  </si>
  <si>
    <t>Result</t>
  </si>
  <si>
    <t>Overvalued or Undervalued By</t>
  </si>
  <si>
    <t xml:space="preserve">Reveres DCF </t>
  </si>
  <si>
    <t>DCF Value</t>
  </si>
  <si>
    <t>Current Market Cap</t>
  </si>
  <si>
    <t xml:space="preserve">DCF as % Market Cap </t>
  </si>
  <si>
    <t>Alpha</t>
  </si>
  <si>
    <t>LTM</t>
  </si>
  <si>
    <t>Tax Rate</t>
  </si>
  <si>
    <t>Unlevered Operating Cash Flow</t>
  </si>
  <si>
    <t>Less: Tax Expense</t>
  </si>
  <si>
    <t>SIFL</t>
  </si>
  <si>
    <t>EBITDA (% of Sales)</t>
  </si>
  <si>
    <t>Revenue Growth</t>
  </si>
  <si>
    <t>Depreciation (% of Sales)</t>
  </si>
  <si>
    <t>CapEx (% of Sales)</t>
  </si>
  <si>
    <t>Change in WC</t>
  </si>
  <si>
    <t>Net Working Capital (% of Sales)</t>
  </si>
  <si>
    <t>Net Working Capital (Amt)</t>
  </si>
  <si>
    <t>Perpetual Growth Rate</t>
  </si>
  <si>
    <t>Terminal Year FCF</t>
  </si>
  <si>
    <t>Perpetual Value</t>
  </si>
  <si>
    <t xml:space="preserve">PV of Perpetual Value </t>
  </si>
  <si>
    <t>Less: Net Debt</t>
  </si>
  <si>
    <t>Devyani International Ltd</t>
  </si>
  <si>
    <t>Sapphire Foods India Ltd</t>
  </si>
  <si>
    <t>(BSE: 543330 |NSE: DEVYANI)</t>
  </si>
  <si>
    <t>(BSE: 543387 | NSE: SAPPHIRE)</t>
  </si>
  <si>
    <t>DCF Valuation Summary</t>
  </si>
  <si>
    <t>Particulars</t>
  </si>
  <si>
    <t>Sapphire (SFIL)</t>
  </si>
  <si>
    <t>Devyani (DIL)</t>
  </si>
  <si>
    <t>Equity Value (DCF)</t>
  </si>
  <si>
    <t>No. of Shares</t>
  </si>
  <si>
    <t>Swap Ratio Calculation</t>
  </si>
  <si>
    <t>Implied Swap Ratio (DCF Basis)</t>
  </si>
  <si>
    <t>Difference (%)</t>
  </si>
  <si>
    <t>Market Ratio</t>
  </si>
  <si>
    <t>Agreed Ratio</t>
  </si>
  <si>
    <t>Implied Ratio (DCF)</t>
  </si>
  <si>
    <t>DCF Value (Intrinsic)</t>
  </si>
  <si>
    <t>Charts &amp; Graphs</t>
  </si>
  <si>
    <t>Acquirer</t>
  </si>
  <si>
    <t>Target</t>
  </si>
  <si>
    <t>Pro</t>
  </si>
  <si>
    <t>Deal</t>
  </si>
  <si>
    <t>Devyani</t>
  </si>
  <si>
    <t>Sapphire</t>
  </si>
  <si>
    <t>Forma (Year 1)</t>
  </si>
  <si>
    <t>Assumptions</t>
  </si>
  <si>
    <t>Deal date:</t>
  </si>
  <si>
    <t>Current share price</t>
  </si>
  <si>
    <t>Diluted shares outstanding</t>
  </si>
  <si>
    <t>Form of consideration</t>
  </si>
  <si>
    <t>2027 Earnings per share (EPS) forecast</t>
  </si>
  <si>
    <t>% Stock</t>
  </si>
  <si>
    <t>Acquirer shares issued in transaction</t>
  </si>
  <si>
    <t>Tax rate:</t>
  </si>
  <si>
    <t>Synergies:</t>
  </si>
  <si>
    <t>Exchange Swap Ratio</t>
  </si>
  <si>
    <t>Offer price per share</t>
  </si>
  <si>
    <t>Asset write-ups:</t>
  </si>
  <si>
    <t>% Offer Premium</t>
  </si>
  <si>
    <t xml:space="preserve">Book value of target assets </t>
  </si>
  <si>
    <t>Shares outstanding</t>
  </si>
  <si>
    <t>Fair market value of target assets</t>
  </si>
  <si>
    <t>Offer value</t>
  </si>
  <si>
    <t>Asset write-up</t>
  </si>
  <si>
    <t>Useful life</t>
  </si>
  <si>
    <t>Incremental D&amp;A expense</t>
  </si>
  <si>
    <t>Accretion / dilution analysis</t>
  </si>
  <si>
    <t>Implied standalone net income</t>
  </si>
  <si>
    <t>Implied standalone pretax income</t>
  </si>
  <si>
    <t>Pro forma pretax income - unadjusted</t>
  </si>
  <si>
    <t>Less: Incremental D&amp;A expense</t>
  </si>
  <si>
    <t>Less: Deal fees</t>
  </si>
  <si>
    <t>Plus: Synergies</t>
  </si>
  <si>
    <t>Pro forma pretax income - adjusted</t>
  </si>
  <si>
    <t xml:space="preserve">Pro Forma Net Income </t>
  </si>
  <si>
    <t>Pro Forma Shares Outstanding</t>
  </si>
  <si>
    <t>Arctic Buy-back (Pre-merger)</t>
  </si>
  <si>
    <t>Pro Forma EPS</t>
  </si>
  <si>
    <t>Acquirer standalone EPS</t>
  </si>
  <si>
    <t>Accretion / Dilution per share</t>
  </si>
  <si>
    <t>Accretion / Dilution %</t>
  </si>
  <si>
    <t>Sensitivity analysis</t>
  </si>
  <si>
    <t>Advisory fees in M&amp;A</t>
  </si>
  <si>
    <t>M&amp;A Advisory Fee %</t>
  </si>
  <si>
    <t>Deal Fees</t>
  </si>
  <si>
    <t>&lt;--Promoter control consolidation to maintain &gt;50% stake post-merger</t>
  </si>
  <si>
    <t>Swap Ratio</t>
  </si>
  <si>
    <t>Synergies</t>
  </si>
  <si>
    <t>Pre-deal share price (CMP)</t>
  </si>
  <si>
    <t>Pre-Announcement Price (Share Price)</t>
  </si>
  <si>
    <t>Methodology</t>
  </si>
  <si>
    <t>Diff</t>
  </si>
  <si>
    <t>Final Value</t>
  </si>
  <si>
    <t>DCF (Intrinsic)</t>
  </si>
  <si>
    <t>52-Week Range</t>
  </si>
  <si>
    <t>Trading Comps</t>
  </si>
  <si>
    <t xml:space="preserve">Offer Price </t>
  </si>
  <si>
    <t>Market Data</t>
  </si>
  <si>
    <t>DIL</t>
  </si>
  <si>
    <t xml:space="preserve">Tiker Name </t>
  </si>
  <si>
    <t>Tiker Name</t>
  </si>
  <si>
    <t>Share Swap Ratio (Analysis)</t>
  </si>
  <si>
    <t>Accretion / Dilution Analysis</t>
  </si>
  <si>
    <t>Football Analysis</t>
  </si>
  <si>
    <t>Diluted Shares</t>
  </si>
  <si>
    <t>Relative Valuation</t>
  </si>
  <si>
    <t>Valuation Analysis</t>
  </si>
  <si>
    <t>Project Merger Valuation: Sapphire Food &amp; Devyani International</t>
  </si>
  <si>
    <t>Table of Content</t>
  </si>
  <si>
    <t>1. Relative Valuation</t>
  </si>
  <si>
    <t>2. DCF (Sapphire)</t>
  </si>
  <si>
    <t>3. DCF (Devyani)</t>
  </si>
  <si>
    <t>4. Share Swap &amp; Deal Terms</t>
  </si>
  <si>
    <t>5. Accretion / Dilution</t>
  </si>
  <si>
    <t>6. Valuation Summary</t>
  </si>
  <si>
    <t>Disclaimer</t>
  </si>
  <si>
    <r>
      <t xml:space="preserve">This valuation workbook is prepared for academic and illustrative purposes based on independent research and publicly available data. The independent POV reflects intrinsic modeling which may vary from market sentiment and actual deal consummation.
</t>
    </r>
    <r>
      <rPr>
        <b/>
        <sz val="14"/>
        <color theme="1"/>
        <rFont val="Calibri"/>
        <family val="2"/>
      </rPr>
      <t>Analyst</t>
    </r>
    <r>
      <rPr>
        <sz val="14"/>
        <color theme="1"/>
        <rFont val="Calibri"/>
        <family val="2"/>
      </rPr>
      <t xml:space="preserve">: Anvay Gulave
</t>
    </r>
    <r>
      <rPr>
        <b/>
        <sz val="14"/>
        <color theme="1"/>
        <rFont val="Calibri"/>
        <family val="2"/>
      </rPr>
      <t>Date:</t>
    </r>
    <r>
      <rPr>
        <sz val="14"/>
        <color theme="1"/>
        <rFont val="Calibri"/>
        <family val="2"/>
      </rPr>
      <t xml:space="preserve">  Jan 10, 2026</t>
    </r>
  </si>
  <si>
    <r>
      <t xml:space="preserve">Calculates intrinsic value based on future cash flows. Estimated value is </t>
    </r>
    <r>
      <rPr>
        <b/>
        <sz val="12"/>
        <color theme="1"/>
        <rFont val="Calibri"/>
        <family val="2"/>
      </rPr>
      <t>₹55</t>
    </r>
    <r>
      <rPr>
        <sz val="12"/>
        <color theme="1"/>
        <rFont val="Calibri"/>
        <family val="2"/>
      </rPr>
      <t xml:space="preserve"> per share using a 14.27% discount rate.</t>
    </r>
  </si>
  <si>
    <r>
      <t>Compares valuation methods. Shows DCF (</t>
    </r>
    <r>
      <rPr>
        <b/>
        <sz val="12"/>
        <color theme="1"/>
        <rFont val="Calibri"/>
        <family val="2"/>
      </rPr>
      <t>₹55</t>
    </r>
    <r>
      <rPr>
        <sz val="12"/>
        <color theme="1"/>
        <rFont val="Calibri"/>
        <family val="2"/>
      </rPr>
      <t>) and  Trading Comps (</t>
    </r>
    <r>
      <rPr>
        <b/>
        <sz val="12"/>
        <color theme="1"/>
        <rFont val="Calibri"/>
        <family val="2"/>
      </rPr>
      <t>₹265</t>
    </r>
    <r>
      <rPr>
        <sz val="12"/>
        <color theme="1"/>
        <rFont val="Calibri"/>
        <family val="2"/>
      </rPr>
      <t xml:space="preserve">) against the </t>
    </r>
    <r>
      <rPr>
        <b/>
        <sz val="12"/>
        <color theme="1"/>
        <rFont val="Calibri"/>
        <family val="2"/>
      </rPr>
      <t>₹262</t>
    </r>
    <r>
      <rPr>
        <sz val="12"/>
        <color theme="1"/>
        <rFont val="Calibri"/>
        <family val="2"/>
      </rPr>
      <t xml:space="preserve"> offer price.</t>
    </r>
  </si>
  <si>
    <r>
      <t xml:space="preserve">Benchmarks the company against industry peers. Implied fair value for SFIL is between </t>
    </r>
    <r>
      <rPr>
        <b/>
        <sz val="12"/>
        <color theme="1"/>
        <rFont val="Calibri"/>
        <family val="2"/>
      </rPr>
      <t>₹252 and ₹279</t>
    </r>
    <r>
      <rPr>
        <sz val="12"/>
        <color theme="1"/>
        <rFont val="Calibri"/>
        <family val="2"/>
      </rPr>
      <t xml:space="preserve"> per share. than Sapphire’s </t>
    </r>
    <r>
      <rPr>
        <b/>
        <sz val="12"/>
        <color theme="1"/>
        <rFont val="Calibri"/>
        <family val="2"/>
      </rPr>
      <t>20x</t>
    </r>
    <r>
      <rPr>
        <sz val="12"/>
        <color theme="1"/>
        <rFont val="Calibri"/>
        <family val="2"/>
      </rPr>
      <t>.</t>
    </r>
  </si>
  <si>
    <r>
      <t xml:space="preserve">Analyzes the </t>
    </r>
    <r>
      <rPr>
        <b/>
        <sz val="12"/>
        <color theme="1"/>
        <rFont val="Calibri"/>
        <family val="2"/>
      </rPr>
      <t>1.77x</t>
    </r>
    <r>
      <rPr>
        <sz val="12"/>
        <color theme="1"/>
        <rFont val="Calibri"/>
        <family val="2"/>
      </rPr>
      <t xml:space="preserve"> agreed swap ratio. Compares the market ratio against the </t>
    </r>
    <r>
      <rPr>
        <b/>
        <sz val="12"/>
        <color theme="1"/>
        <rFont val="Calibri"/>
        <family val="2"/>
      </rPr>
      <t>3.63x</t>
    </r>
    <r>
      <rPr>
        <sz val="12"/>
        <color theme="1"/>
        <rFont val="Calibri"/>
        <family val="2"/>
      </rPr>
      <t xml:space="preserve"> implied DCF ratio.</t>
    </r>
  </si>
  <si>
    <r>
      <t xml:space="preserve">Estimates standalone value using a </t>
    </r>
    <r>
      <rPr>
        <b/>
        <sz val="12"/>
        <color theme="1"/>
        <rFont val="Calibri"/>
        <family val="2"/>
      </rPr>
      <t>14.77%</t>
    </r>
    <r>
      <rPr>
        <sz val="12"/>
        <color theme="1"/>
        <rFont val="Calibri"/>
        <family val="2"/>
      </rPr>
      <t xml:space="preserve"> discount rate. The calculated intrinsic value is </t>
    </r>
    <r>
      <rPr>
        <b/>
        <sz val="12"/>
        <color theme="1"/>
        <rFont val="Calibri"/>
        <family val="2"/>
      </rPr>
      <t>₹15</t>
    </r>
    <r>
      <rPr>
        <sz val="12"/>
        <color theme="1"/>
        <rFont val="Calibri"/>
        <family val="2"/>
      </rPr>
      <t xml:space="preserve"> per share.</t>
    </r>
  </si>
  <si>
    <r>
      <t xml:space="preserve">Shows the merger’s impact on earnings. The deal is </t>
    </r>
    <r>
      <rPr>
        <b/>
        <sz val="12"/>
        <color theme="1"/>
        <rFont val="Calibri"/>
        <family val="2"/>
      </rPr>
      <t>4.5% accretive</t>
    </r>
    <r>
      <rPr>
        <sz val="12"/>
        <color theme="1"/>
        <rFont val="Calibri"/>
        <family val="2"/>
      </rPr>
      <t xml:space="preserve">, increasing EPS from </t>
    </r>
    <r>
      <rPr>
        <b/>
        <sz val="12"/>
        <color theme="1"/>
        <rFont val="Calibri"/>
        <family val="2"/>
      </rPr>
      <t>₹1.32</t>
    </r>
    <r>
      <rPr>
        <sz val="12"/>
        <color theme="1"/>
        <rFont val="Calibri"/>
        <family val="2"/>
      </rPr>
      <t xml:space="preserve"> to </t>
    </r>
    <r>
      <rPr>
        <b/>
        <sz val="12"/>
        <color theme="1"/>
        <rFont val="Calibri"/>
        <family val="2"/>
      </rPr>
      <t>₹1.38</t>
    </r>
    <r>
      <rPr>
        <sz val="12"/>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</si>
</sst>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0;\(#,##0\)"/>
    <numFmt numFmtId="165" formatCode="0.00&quot;x&quot;"/>
    <numFmt numFmtId="166" formatCode="#,##0.0"/>
    <numFmt numFmtId="167" formatCode="0.0%"/>
    <numFmt numFmtId="168" formatCode="\₹\ #,##0_);\(#,##0\)"/>
    <numFmt numFmtId="169" formatCode="\₹\ #,##0;\(#,##0\)"/>
    <numFmt numFmtId="170" formatCode="_ * #,##0.00_ ;_ * \-#,##0.00_ ;_ * &quot;-&quot;??_ ;_ @_ "/>
    <numFmt numFmtId="171" formatCode="\₹\ #,##0.00_);\(#,##0.00\)"/>
    <numFmt numFmtId="172" formatCode="[$-409]dd\-mmm\-yy;@"/>
    <numFmt numFmtId="173" formatCode="#,##0_);\(#,##0\);\-\-_);@_)"/>
    <numFmt numFmtId="174" formatCode="[$-409]d\-mmm\-yy;@"/>
    <numFmt numFmtId="175" formatCode="#,##0_);\(#,##0\);@_)"/>
    <numFmt numFmtId="176" formatCode="&quot;$&quot;#,##0.00_);\(&quot;$&quot;#,##0.00\);@_)"/>
    <numFmt numFmtId="177" formatCode="#,##0.0_);\(#,##0.0\);@_)"/>
    <numFmt numFmtId="178" formatCode="0\ &quot;Yr&quot;"/>
    <numFmt numFmtId="179" formatCode="\₹\ #,##0;\(\₹\ #,##0\)"/>
    <numFmt numFmtId="180" formatCode="\₹\ #,##0.0;\(\₹\ #,##0.0\)"/>
    <numFmt numFmtId="181" formatCode="0.0%;\(0.0%\)"/>
  </numFmts>
  <fonts count="52" x14ac:knownFonts="1">
    <font>
      <sz val="11"/>
      <color theme="1"/>
      <name val="Calibri"/>
      <family val="2"/>
    </font>
    <font>
      <sz val="11"/>
      <color theme="1"/>
      <name val="Calibri"/>
      <family val="2"/>
    </font>
    <font>
      <b/>
      <sz val="11"/>
      <color theme="0"/>
      <name val="Calibri"/>
      <family val="2"/>
    </font>
    <font>
      <b/>
      <sz val="11"/>
      <color theme="1"/>
      <name val="Calibri"/>
      <family val="2"/>
    </font>
    <font>
      <sz val="11"/>
      <color rgb="FF0000FF"/>
      <name val="Calibri"/>
      <family val="2"/>
      <scheme val="minor"/>
    </font>
    <font>
      <sz val="11"/>
      <color rgb="FF0000FF"/>
      <name val="Calibri"/>
      <family val="2"/>
    </font>
    <font>
      <sz val="9"/>
      <color indexed="81"/>
      <name val="Tahoma"/>
      <family val="2"/>
    </font>
    <font>
      <b/>
      <sz val="9"/>
      <color indexed="81"/>
      <name val="Tahoma"/>
      <family val="2"/>
    </font>
    <font>
      <u/>
      <sz val="11"/>
      <color theme="10"/>
      <name val="Calibri"/>
      <family val="2"/>
    </font>
    <font>
      <sz val="11"/>
      <color theme="1"/>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b/>
      <sz val="18"/>
      <color theme="0"/>
      <name val="Calibri"/>
      <family val="2"/>
      <scheme val="minor"/>
    </font>
    <font>
      <b/>
      <sz val="16"/>
      <color theme="1"/>
      <name val="Calibri"/>
      <family val="2"/>
      <scheme val="minor"/>
    </font>
    <font>
      <i/>
      <sz val="11"/>
      <color theme="1"/>
      <name val="Calibri"/>
      <family val="2"/>
      <scheme val="minor"/>
    </font>
    <font>
      <i/>
      <sz val="10"/>
      <color theme="3" tint="0.59999389629810485"/>
      <name val="Calibri"/>
      <family val="2"/>
      <scheme val="minor"/>
    </font>
    <font>
      <b/>
      <sz val="11"/>
      <color rgb="FF3333FF"/>
      <name val="Calibri"/>
      <family val="2"/>
    </font>
    <font>
      <sz val="11"/>
      <color rgb="FF3333FF"/>
      <name val="Calibri"/>
      <family val="2"/>
      <scheme val="minor"/>
    </font>
    <font>
      <sz val="8"/>
      <color indexed="81"/>
      <name val="Tahoma"/>
      <family val="2"/>
    </font>
    <font>
      <sz val="11"/>
      <color theme="0"/>
      <name val="Calibri"/>
      <family val="2"/>
    </font>
    <font>
      <sz val="10"/>
      <color theme="1"/>
      <name val="Calibri"/>
      <family val="2"/>
      <scheme val="minor"/>
    </font>
    <font>
      <b/>
      <sz val="10"/>
      <color theme="1"/>
      <name val="Calibri"/>
      <family val="2"/>
    </font>
    <font>
      <sz val="10"/>
      <color theme="1"/>
      <name val="Calibri"/>
      <family val="2"/>
    </font>
    <font>
      <sz val="10"/>
      <color indexed="8"/>
      <name val="Calibri"/>
      <family val="2"/>
    </font>
    <font>
      <b/>
      <u/>
      <sz val="10"/>
      <color theme="1"/>
      <name val="Calibri"/>
      <family val="2"/>
    </font>
    <font>
      <sz val="10"/>
      <color rgb="FF0000FF"/>
      <name val="Calibri"/>
      <family val="2"/>
    </font>
    <font>
      <sz val="10"/>
      <color rgb="FF000000"/>
      <name val="Calibri"/>
      <family val="2"/>
    </font>
    <font>
      <i/>
      <sz val="10"/>
      <color theme="1"/>
      <name val="Calibri"/>
      <family val="2"/>
    </font>
    <font>
      <i/>
      <sz val="10"/>
      <color rgb="FF000000"/>
      <name val="Calibri"/>
      <family val="2"/>
    </font>
    <font>
      <b/>
      <sz val="10"/>
      <color rgb="FF000000"/>
      <name val="Calibri"/>
      <family val="2"/>
    </font>
    <font>
      <b/>
      <i/>
      <sz val="10"/>
      <color theme="1"/>
      <name val="Calibri"/>
      <family val="2"/>
    </font>
    <font>
      <sz val="10"/>
      <color theme="1"/>
      <name val="Calibri Light"/>
      <family val="2"/>
      <scheme val="major"/>
    </font>
    <font>
      <sz val="10"/>
      <color rgb="FF0000FF"/>
      <name val="Calibri Light"/>
      <family val="2"/>
      <scheme val="major"/>
    </font>
    <font>
      <b/>
      <sz val="14"/>
      <color theme="0"/>
      <name val="Calibri"/>
      <family val="2"/>
    </font>
    <font>
      <b/>
      <sz val="16"/>
      <color theme="0"/>
      <name val="Calibri"/>
      <family val="2"/>
    </font>
    <font>
      <b/>
      <sz val="20"/>
      <color theme="0"/>
      <name val="Calibri"/>
      <family val="2"/>
    </font>
    <font>
      <i/>
      <sz val="11"/>
      <color theme="2" tint="-0.249977111117893"/>
      <name val="Calibri"/>
      <family val="2"/>
    </font>
    <font>
      <b/>
      <sz val="10"/>
      <color theme="0"/>
      <name val="Calibri"/>
      <family val="2"/>
    </font>
    <font>
      <sz val="10"/>
      <color rgb="FF333333"/>
      <name val="Calibri"/>
      <family val="2"/>
    </font>
    <font>
      <b/>
      <i/>
      <sz val="10"/>
      <color rgb="FF000000"/>
      <name val="Calibri"/>
      <family val="2"/>
    </font>
    <font>
      <i/>
      <sz val="9"/>
      <color theme="1"/>
      <name val="Calibri"/>
      <family val="2"/>
    </font>
    <font>
      <i/>
      <sz val="10"/>
      <color theme="1"/>
      <name val="Calibri"/>
      <family val="2"/>
      <scheme val="minor"/>
    </font>
    <font>
      <b/>
      <sz val="12"/>
      <color theme="0"/>
      <name val="Calibri"/>
      <family val="2"/>
    </font>
    <font>
      <b/>
      <sz val="18"/>
      <color theme="0"/>
      <name val="Calibri"/>
      <family val="2"/>
    </font>
    <font>
      <sz val="12"/>
      <color theme="1"/>
      <name val="Calibri"/>
      <family val="2"/>
    </font>
    <font>
      <sz val="14"/>
      <color theme="1"/>
      <name val="Calibri"/>
      <family val="2"/>
    </font>
    <font>
      <b/>
      <sz val="14"/>
      <color theme="1"/>
      <name val="Calibri"/>
      <family val="2"/>
    </font>
    <font>
      <b/>
      <sz val="12"/>
      <color theme="1"/>
      <name val="Calibri"/>
      <family val="2"/>
    </font>
    <font>
      <sz val="16"/>
      <color theme="1"/>
      <name val="Calibri"/>
      <family val="2"/>
    </font>
    <font>
      <b/>
      <sz val="16"/>
      <color theme="1"/>
      <name val="Calibri"/>
      <family val="2"/>
    </font>
    <font>
      <u/>
      <sz val="12"/>
      <color theme="10"/>
      <name val="Calibri"/>
      <family val="2"/>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5"/>
      </patternFill>
    </fill>
    <fill>
      <patternFill patternType="solid">
        <fgColor theme="6" tint="0.39997558519241921"/>
        <bgColor indexed="65"/>
      </patternFill>
    </fill>
    <fill>
      <patternFill patternType="solid">
        <fgColor theme="9"/>
      </patternFill>
    </fill>
    <fill>
      <patternFill patternType="solid">
        <fgColor theme="8" tint="-0.499984740745262"/>
        <bgColor indexed="64"/>
      </patternFill>
    </fill>
    <fill>
      <patternFill patternType="solid">
        <fgColor theme="7" tint="0.39997558519241921"/>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rgb="FF002060"/>
        <bgColor indexed="64"/>
      </patternFill>
    </fill>
    <fill>
      <patternFill patternType="solid">
        <fgColor theme="7" tint="0.79998168889431442"/>
        <bgColor indexed="64"/>
      </patternFill>
    </fill>
    <fill>
      <patternFill patternType="solid">
        <fgColor rgb="FF1F4E78"/>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8" tint="0.59999389629810485"/>
        <bgColor indexed="64"/>
      </patternFill>
    </fill>
  </fills>
  <borders count="129">
    <border>
      <left/>
      <right/>
      <top/>
      <bottom/>
      <diagonal/>
    </border>
    <border>
      <left/>
      <right/>
      <top/>
      <bottom style="medium">
        <color theme="0" tint="-4.9989318521683403E-2"/>
      </bottom>
      <diagonal/>
    </border>
    <border>
      <left style="medium">
        <color theme="0"/>
      </left>
      <right/>
      <top style="medium">
        <color theme="0" tint="-4.9989318521683403E-2"/>
      </top>
      <bottom/>
      <diagonal/>
    </border>
    <border>
      <left/>
      <right/>
      <top style="medium">
        <color theme="0" tint="-4.9989318521683403E-2"/>
      </top>
      <bottom/>
      <diagonal/>
    </border>
    <border>
      <left/>
      <right style="medium">
        <color theme="0"/>
      </right>
      <top style="medium">
        <color theme="0" tint="-4.9989318521683403E-2"/>
      </top>
      <bottom/>
      <diagonal/>
    </border>
    <border>
      <left style="mediumDashed">
        <color theme="1" tint="0.499984740745262"/>
      </left>
      <right/>
      <top/>
      <bottom/>
      <diagonal/>
    </border>
    <border>
      <left/>
      <right style="mediumDashed">
        <color theme="1" tint="0.499984740745262"/>
      </right>
      <top/>
      <bottom/>
      <diagonal/>
    </border>
    <border>
      <left/>
      <right/>
      <top style="dashDot">
        <color theme="9" tint="0.39994506668294322"/>
      </top>
      <bottom style="dashDot">
        <color theme="9" tint="0.39994506668294322"/>
      </bottom>
      <diagonal/>
    </border>
    <border>
      <left/>
      <right style="dotted">
        <color theme="0" tint="-0.24994659260841701"/>
      </right>
      <top/>
      <bottom/>
      <diagonal/>
    </border>
    <border>
      <left/>
      <right/>
      <top style="thin">
        <color indexed="64"/>
      </top>
      <bottom/>
      <diagonal/>
    </border>
    <border>
      <left/>
      <right/>
      <top style="medium">
        <color auto="1"/>
      </top>
      <bottom style="thick">
        <color auto="1"/>
      </bottom>
      <diagonal/>
    </border>
    <border>
      <left style="dashed">
        <color auto="1"/>
      </left>
      <right style="dashed">
        <color auto="1"/>
      </right>
      <top style="dashed">
        <color auto="1"/>
      </top>
      <bottom style="dashed">
        <color auto="1"/>
      </bottom>
      <diagonal/>
    </border>
    <border>
      <left style="dotted">
        <color theme="0" tint="-0.24994659260841701"/>
      </left>
      <right/>
      <top/>
      <bottom style="medium">
        <color auto="1"/>
      </bottom>
      <diagonal/>
    </border>
    <border>
      <left/>
      <right style="dotted">
        <color theme="0" tint="-0.24994659260841701"/>
      </right>
      <top/>
      <bottom style="medium">
        <color auto="1"/>
      </bottom>
      <diagonal/>
    </border>
    <border>
      <left style="dotted">
        <color theme="0" tint="-0.24994659260841701"/>
      </left>
      <right/>
      <top style="medium">
        <color auto="1"/>
      </top>
      <bottom/>
      <diagonal/>
    </border>
    <border>
      <left/>
      <right style="dotted">
        <color theme="0" tint="-0.24994659260841701"/>
      </right>
      <top style="medium">
        <color auto="1"/>
      </top>
      <bottom/>
      <diagonal/>
    </border>
    <border>
      <left style="dotted">
        <color theme="0" tint="-0.24994659260841701"/>
      </left>
      <right/>
      <top/>
      <bottom/>
      <diagonal/>
    </border>
    <border>
      <left style="dashed">
        <color theme="9" tint="-0.499984740745262"/>
      </left>
      <right/>
      <top style="dashed">
        <color theme="9" tint="-0.499984740745262"/>
      </top>
      <bottom/>
      <diagonal/>
    </border>
    <border>
      <left style="dashed">
        <color theme="9" tint="-0.499984740745262"/>
      </left>
      <right style="dashed">
        <color theme="9" tint="-0.499984740745262"/>
      </right>
      <top style="dashed">
        <color theme="9" tint="-0.499984740745262"/>
      </top>
      <bottom/>
      <diagonal/>
    </border>
    <border>
      <left/>
      <right/>
      <top style="dashed">
        <color theme="9" tint="-0.499984740745262"/>
      </top>
      <bottom/>
      <diagonal/>
    </border>
    <border>
      <left/>
      <right style="dashed">
        <color theme="9" tint="-0.499984740745262"/>
      </right>
      <top style="dashed">
        <color theme="9" tint="-0.499984740745262"/>
      </top>
      <bottom/>
      <diagonal/>
    </border>
    <border>
      <left style="dashed">
        <color theme="9" tint="-0.499984740745262"/>
      </left>
      <right/>
      <top/>
      <bottom style="dashed">
        <color theme="9" tint="-0.499984740745262"/>
      </bottom>
      <diagonal/>
    </border>
    <border>
      <left style="dashed">
        <color theme="9" tint="-0.499984740745262"/>
      </left>
      <right style="dashed">
        <color theme="9" tint="-0.499984740745262"/>
      </right>
      <top/>
      <bottom style="dashed">
        <color theme="9" tint="-0.499984740745262"/>
      </bottom>
      <diagonal/>
    </border>
    <border>
      <left/>
      <right/>
      <top/>
      <bottom style="dashed">
        <color theme="9" tint="-0.499984740745262"/>
      </bottom>
      <diagonal/>
    </border>
    <border>
      <left/>
      <right style="dashed">
        <color theme="9" tint="-0.499984740745262"/>
      </right>
      <top/>
      <bottom style="dashed">
        <color theme="9" tint="-0.499984740745262"/>
      </bottom>
      <diagonal/>
    </border>
    <border>
      <left style="dotted">
        <color theme="0" tint="-0.24994659260841701"/>
      </left>
      <right/>
      <top/>
      <bottom style="thin">
        <color auto="1"/>
      </bottom>
      <diagonal/>
    </border>
    <border>
      <left/>
      <right/>
      <top/>
      <bottom style="thin">
        <color auto="1"/>
      </bottom>
      <diagonal/>
    </border>
    <border>
      <left/>
      <right style="dotted">
        <color theme="0" tint="-0.24994659260841701"/>
      </right>
      <top/>
      <bottom style="thin">
        <color auto="1"/>
      </bottom>
      <diagonal/>
    </border>
    <border>
      <left/>
      <right/>
      <top style="dashed">
        <color rgb="FF0070C0"/>
      </top>
      <bottom/>
      <diagonal/>
    </border>
    <border>
      <left style="dotted">
        <color theme="0" tint="-0.24994659260841701"/>
      </left>
      <right/>
      <top style="thin">
        <color theme="7" tint="-0.499984740745262"/>
      </top>
      <bottom style="thin">
        <color auto="1"/>
      </bottom>
      <diagonal/>
    </border>
    <border>
      <left/>
      <right/>
      <top style="thin">
        <color theme="7" tint="-0.499984740745262"/>
      </top>
      <bottom style="thin">
        <color auto="1"/>
      </bottom>
      <diagonal/>
    </border>
    <border>
      <left/>
      <right style="dotted">
        <color theme="0" tint="-0.24994659260841701"/>
      </right>
      <top style="thin">
        <color theme="7" tint="-0.499984740745262"/>
      </top>
      <bottom style="thin">
        <color auto="1"/>
      </bottom>
      <diagonal/>
    </border>
    <border>
      <left style="dotted">
        <color theme="0" tint="-0.24994659260841701"/>
      </left>
      <right/>
      <top style="thin">
        <color auto="1"/>
      </top>
      <bottom/>
      <diagonal/>
    </border>
    <border>
      <left/>
      <right style="dotted">
        <color theme="0" tint="-0.24994659260841701"/>
      </right>
      <top style="thin">
        <color auto="1"/>
      </top>
      <bottom/>
      <diagonal/>
    </border>
    <border>
      <left style="dotted">
        <color theme="0" tint="-0.24994659260841701"/>
      </left>
      <right/>
      <top style="thin">
        <color auto="1"/>
      </top>
      <bottom style="thick">
        <color auto="1"/>
      </bottom>
      <diagonal/>
    </border>
    <border>
      <left/>
      <right/>
      <top style="thin">
        <color auto="1"/>
      </top>
      <bottom style="thick">
        <color auto="1"/>
      </bottom>
      <diagonal/>
    </border>
    <border>
      <left/>
      <right style="dotted">
        <color theme="0" tint="-0.24994659260841701"/>
      </right>
      <top style="thin">
        <color auto="1"/>
      </top>
      <bottom style="thick">
        <color auto="1"/>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style="dashed">
        <color theme="3" tint="0.39994506668294322"/>
      </left>
      <right/>
      <top/>
      <bottom/>
      <diagonal/>
    </border>
    <border>
      <left/>
      <right style="dashed">
        <color theme="3" tint="0.39994506668294322"/>
      </right>
      <top/>
      <bottom/>
      <diagonal/>
    </border>
    <border>
      <left style="dashed">
        <color theme="9" tint="-0.24994659260841701"/>
      </left>
      <right/>
      <top/>
      <bottom/>
      <diagonal/>
    </border>
    <border>
      <left/>
      <right style="dashed">
        <color theme="9" tint="-0.24994659260841701"/>
      </right>
      <top/>
      <bottom/>
      <diagonal/>
    </border>
    <border>
      <left style="dashed">
        <color theme="9" tint="-0.24994659260841701"/>
      </left>
      <right/>
      <top/>
      <bottom style="double">
        <color auto="1"/>
      </bottom>
      <diagonal/>
    </border>
    <border>
      <left style="double">
        <color auto="1"/>
      </left>
      <right/>
      <top/>
      <bottom style="double">
        <color auto="1"/>
      </bottom>
      <diagonal/>
    </border>
    <border>
      <left/>
      <right/>
      <top/>
      <bottom style="double">
        <color auto="1"/>
      </bottom>
      <diagonal/>
    </border>
    <border>
      <left/>
      <right style="dashed">
        <color theme="9" tint="-0.24994659260841701"/>
      </right>
      <top/>
      <bottom style="double">
        <color auto="1"/>
      </bottom>
      <diagonal/>
    </border>
    <border>
      <left style="double">
        <color auto="1"/>
      </left>
      <right/>
      <top/>
      <bottom/>
      <diagonal/>
    </border>
    <border>
      <left style="dashed">
        <color theme="3" tint="0.39994506668294322"/>
      </left>
      <right/>
      <top style="medium">
        <color auto="1"/>
      </top>
      <bottom style="thick">
        <color auto="1"/>
      </bottom>
      <diagonal/>
    </border>
    <border>
      <left/>
      <right style="dashed">
        <color theme="3" tint="0.39994506668294322"/>
      </right>
      <top style="medium">
        <color auto="1"/>
      </top>
      <bottom style="thick">
        <color auto="1"/>
      </bottom>
      <diagonal/>
    </border>
    <border>
      <left style="dashed">
        <color theme="9" tint="-0.24994659260841701"/>
      </left>
      <right/>
      <top/>
      <bottom style="dashed">
        <color theme="9" tint="-0.24994659260841701"/>
      </bottom>
      <diagonal/>
    </border>
    <border>
      <left style="double">
        <color auto="1"/>
      </left>
      <right/>
      <top/>
      <bottom style="dashed">
        <color theme="9" tint="-0.24994659260841701"/>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dotted">
        <color theme="0" tint="-0.24994659260841701"/>
      </left>
      <right/>
      <top style="dotted">
        <color theme="0" tint="-0.24994659260841701"/>
      </top>
      <bottom style="medium">
        <color auto="1"/>
      </bottom>
      <diagonal/>
    </border>
    <border>
      <left/>
      <right style="dotted">
        <color theme="0" tint="-0.24994659260841701"/>
      </right>
      <top style="dotted">
        <color theme="0" tint="-0.24994659260841701"/>
      </top>
      <bottom style="medium">
        <color auto="1"/>
      </bottom>
      <diagonal/>
    </border>
    <border>
      <left style="dotted">
        <color theme="0" tint="-0.24994659260841701"/>
      </left>
      <right/>
      <top style="dashed">
        <color auto="1"/>
      </top>
      <bottom/>
      <diagonal/>
    </border>
    <border>
      <left/>
      <right style="dotted">
        <color theme="0" tint="-0.24994659260841701"/>
      </right>
      <top style="dashed">
        <color auto="1"/>
      </top>
      <bottom/>
      <diagonal/>
    </border>
    <border>
      <left style="dotted">
        <color theme="0" tint="-0.24994659260841701"/>
      </left>
      <right style="dotted">
        <color theme="0"/>
      </right>
      <top style="dotted">
        <color theme="0"/>
      </top>
      <bottom/>
      <diagonal/>
    </border>
    <border>
      <left style="dotted">
        <color theme="0"/>
      </left>
      <right/>
      <top style="dotted">
        <color theme="0"/>
      </top>
      <bottom/>
      <diagonal/>
    </border>
    <border>
      <left/>
      <right style="dotted">
        <color theme="0"/>
      </right>
      <top style="dotted">
        <color theme="0" tint="-0.24994659260841701"/>
      </top>
      <bottom/>
      <diagonal/>
    </border>
    <border>
      <left style="dotted">
        <color theme="0"/>
      </left>
      <right/>
      <top style="dotted">
        <color theme="0" tint="-0.2499465926084170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style="mediumDashed">
        <color auto="1"/>
      </right>
      <top/>
      <bottom style="mediumDashed">
        <color auto="1"/>
      </bottom>
      <diagonal/>
    </border>
    <border>
      <left style="thin">
        <color rgb="FF000000"/>
      </left>
      <right style="thin">
        <color rgb="FF000000"/>
      </right>
      <top style="thin">
        <color rgb="FF000000"/>
      </top>
      <bottom style="thin">
        <color rgb="FF000000"/>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diagonal/>
    </border>
    <border>
      <left style="thin">
        <color theme="2" tint="-0.24994659260841701"/>
      </left>
      <right style="thin">
        <color theme="2" tint="-0.24994659260841701"/>
      </right>
      <top/>
      <bottom style="thin">
        <color theme="2" tint="-0.24994659260841701"/>
      </bottom>
      <diagonal/>
    </border>
    <border>
      <left/>
      <right/>
      <top style="medium">
        <color theme="4" tint="-0.24994659260841701"/>
      </top>
      <bottom style="thick">
        <color theme="4" tint="-0.24994659260841701"/>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diagonal/>
    </border>
    <border>
      <left/>
      <right style="thin">
        <color rgb="FF002060"/>
      </right>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mediumDashed">
        <color theme="0" tint="-0.24994659260841701"/>
      </left>
      <right style="mediumDashed">
        <color theme="0" tint="-0.24994659260841701"/>
      </right>
      <top style="medium">
        <color auto="1"/>
      </top>
      <bottom style="mediumDashed">
        <color theme="0" tint="-0.24994659260841701"/>
      </bottom>
      <diagonal/>
    </border>
    <border>
      <left style="mediumDashed">
        <color theme="0" tint="-0.24994659260841701"/>
      </left>
      <right/>
      <top style="medium">
        <color auto="1"/>
      </top>
      <bottom style="mediumDashed">
        <color theme="0" tint="-0.24994659260841701"/>
      </bottom>
      <diagonal/>
    </border>
    <border>
      <left/>
      <right/>
      <top/>
      <bottom style="thick">
        <color rgb="FF1F4E78"/>
      </bottom>
      <diagonal/>
    </border>
    <border>
      <left style="thin">
        <color theme="2" tint="-0.24994659260841701"/>
      </left>
      <right style="thin">
        <color theme="2" tint="-0.24994659260841701"/>
      </right>
      <top style="thin">
        <color theme="2" tint="-0.24994659260841701"/>
      </top>
      <bottom/>
      <diagonal/>
    </border>
    <border>
      <left style="thin">
        <color theme="0" tint="-0.24994659260841701"/>
      </left>
      <right style="thin">
        <color theme="0" tint="-0.24994659260841701"/>
      </right>
      <top style="thin">
        <color theme="0" tint="-0.24994659260841701"/>
      </top>
      <bottom style="thin">
        <color theme="2"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thin">
        <color theme="0" tint="-0.24994659260841701"/>
      </left>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medium">
        <color theme="0" tint="-0.24994659260841701"/>
      </left>
      <right/>
      <top style="medium">
        <color theme="0" tint="-0.24994659260841701"/>
      </top>
      <bottom style="thin">
        <color rgb="FF000000"/>
      </bottom>
      <diagonal/>
    </border>
    <border>
      <left/>
      <right/>
      <top style="medium">
        <color theme="0" tint="-0.24994659260841701"/>
      </top>
      <bottom style="thin">
        <color rgb="FF000000"/>
      </bottom>
      <diagonal/>
    </border>
    <border>
      <left/>
      <right style="medium">
        <color theme="0" tint="-0.24994659260841701"/>
      </right>
      <top style="medium">
        <color theme="0" tint="-0.24994659260841701"/>
      </top>
      <bottom style="thin">
        <color rgb="FF000000"/>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34998626667073579"/>
      </left>
      <right/>
      <top style="thick">
        <color theme="0" tint="-0.34998626667073579"/>
      </top>
      <bottom/>
      <diagonal/>
    </border>
    <border>
      <left/>
      <right style="thin">
        <color theme="0" tint="-0.34998626667073579"/>
      </right>
      <top style="thick">
        <color theme="0" tint="-0.34998626667073579"/>
      </top>
      <bottom/>
      <diagonal/>
    </border>
    <border>
      <left style="thin">
        <color theme="0" tint="-0.34998626667073579"/>
      </left>
      <right/>
      <top/>
      <bottom style="thick">
        <color theme="0" tint="-0.34998626667073579"/>
      </bottom>
      <diagonal/>
    </border>
    <border>
      <left/>
      <right style="thin">
        <color theme="0" tint="-0.34998626667073579"/>
      </right>
      <top/>
      <bottom style="thick">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ck">
        <color theme="0"/>
      </bottom>
      <diagonal/>
    </border>
    <border>
      <left style="thin">
        <color theme="0" tint="-0.24994659260841701"/>
      </left>
      <right/>
      <top style="thin">
        <color theme="0" tint="-0.24994659260841701"/>
      </top>
      <bottom style="thin">
        <color theme="0" tint="-0.24994659260841701"/>
      </bottom>
      <diagonal/>
    </border>
    <border>
      <left/>
      <right style="mediumDashed">
        <color theme="0" tint="-0.34998626667073579"/>
      </right>
      <top/>
      <bottom/>
      <diagonal/>
    </border>
    <border>
      <left style="thin">
        <color theme="2" tint="-0.24994659260841701"/>
      </left>
      <right style="thin">
        <color theme="0" tint="-0.24994659260841701"/>
      </right>
      <top/>
      <bottom/>
      <diagonal/>
    </border>
    <border>
      <left style="thin">
        <color theme="2" tint="-0.24994659260841701"/>
      </left>
      <right style="thin">
        <color theme="2" tint="-0.24994659260841701"/>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s>
  <cellStyleXfs count="11">
    <xf numFmtId="0" fontId="0" fillId="0" borderId="0"/>
    <xf numFmtId="9" fontId="1" fillId="0" borderId="0" applyFont="0" applyFill="0" applyBorder="0" applyAlignment="0" applyProtection="0"/>
    <xf numFmtId="170" fontId="9" fillId="0" borderId="0" applyFont="0" applyFill="0" applyBorder="0" applyAlignment="0" applyProtection="0"/>
    <xf numFmtId="0" fontId="8" fillId="0" borderId="0" applyNumberFormat="0" applyFill="0" applyBorder="0" applyAlignment="0" applyProtection="0">
      <alignment vertical="top"/>
      <protection locked="0"/>
    </xf>
    <xf numFmtId="0" fontId="11" fillId="6" borderId="0" applyNumberFormat="0" applyBorder="0" applyAlignment="0" applyProtection="0"/>
    <xf numFmtId="0" fontId="9" fillId="0" borderId="0"/>
    <xf numFmtId="9" fontId="9" fillId="0" borderId="0" applyFont="0" applyFill="0" applyBorder="0" applyAlignment="0" applyProtection="0"/>
    <xf numFmtId="0" fontId="11" fillId="5" borderId="0" applyNumberFormat="0" applyBorder="0" applyAlignment="0" applyProtection="0"/>
    <xf numFmtId="0" fontId="11" fillId="4" borderId="0" applyNumberFormat="0" applyBorder="0" applyAlignment="0" applyProtection="0"/>
    <xf numFmtId="0" fontId="21" fillId="0" borderId="0"/>
    <xf numFmtId="0" fontId="8" fillId="0" borderId="0" applyNumberFormat="0" applyFill="0" applyBorder="0" applyAlignment="0" applyProtection="0"/>
  </cellStyleXfs>
  <cellXfs count="404">
    <xf numFmtId="0" fontId="0" fillId="0" borderId="0" xfId="0"/>
    <xf numFmtId="0" fontId="0" fillId="0" borderId="0" xfId="0" applyProtection="1">
      <protection locked="0"/>
    </xf>
    <xf numFmtId="0" fontId="0" fillId="0" borderId="0" xfId="0" applyAlignment="1" applyProtection="1">
      <alignment horizontal="center"/>
      <protection locked="0"/>
    </xf>
    <xf numFmtId="164" fontId="0" fillId="0" borderId="0" xfId="0" applyNumberFormat="1" applyProtection="1">
      <protection locked="0"/>
    </xf>
    <xf numFmtId="165" fontId="0" fillId="2" borderId="5" xfId="1" applyNumberFormat="1" applyFont="1" applyFill="1" applyBorder="1" applyAlignment="1" applyProtection="1">
      <alignment horizontal="center"/>
    </xf>
    <xf numFmtId="0" fontId="3" fillId="2" borderId="0" xfId="0" applyFont="1" applyFill="1" applyAlignment="1" applyProtection="1">
      <alignment horizontal="left"/>
      <protection locked="0"/>
    </xf>
    <xf numFmtId="166" fontId="3" fillId="2" borderId="0" xfId="0" applyNumberFormat="1" applyFont="1" applyFill="1" applyAlignment="1" applyProtection="1">
      <alignment horizontal="left"/>
      <protection locked="0"/>
    </xf>
    <xf numFmtId="0" fontId="0" fillId="2" borderId="0" xfId="0" applyFill="1" applyProtection="1">
      <protection locked="0"/>
    </xf>
    <xf numFmtId="164" fontId="0" fillId="2" borderId="0" xfId="0" applyNumberFormat="1" applyFill="1" applyProtection="1">
      <protection locked="0"/>
    </xf>
    <xf numFmtId="0" fontId="9" fillId="0" borderId="0" xfId="5" applyProtection="1">
      <protection locked="0"/>
    </xf>
    <xf numFmtId="0" fontId="14" fillId="0" borderId="0" xfId="5" applyFont="1" applyProtection="1">
      <protection locked="0"/>
    </xf>
    <xf numFmtId="0" fontId="15" fillId="0" borderId="0" xfId="5" applyFont="1" applyProtection="1">
      <protection locked="0"/>
    </xf>
    <xf numFmtId="0" fontId="10" fillId="0" borderId="0" xfId="5" applyFont="1" applyProtection="1">
      <protection locked="0"/>
    </xf>
    <xf numFmtId="16" fontId="9" fillId="0" borderId="0" xfId="5" applyNumberFormat="1" applyProtection="1">
      <protection locked="0"/>
    </xf>
    <xf numFmtId="0" fontId="16" fillId="0" borderId="0" xfId="5" applyFont="1" applyProtection="1">
      <protection locked="0"/>
    </xf>
    <xf numFmtId="0" fontId="3" fillId="0" borderId="25" xfId="5" applyFont="1" applyBorder="1" applyProtection="1">
      <protection locked="0"/>
    </xf>
    <xf numFmtId="0" fontId="9" fillId="0" borderId="26" xfId="5" applyBorder="1" applyProtection="1">
      <protection locked="0"/>
    </xf>
    <xf numFmtId="0" fontId="9" fillId="0" borderId="27" xfId="5" applyBorder="1" applyProtection="1">
      <protection locked="0"/>
    </xf>
    <xf numFmtId="0" fontId="9" fillId="0" borderId="16" xfId="5" applyBorder="1" applyProtection="1">
      <protection locked="0"/>
    </xf>
    <xf numFmtId="10" fontId="4" fillId="0" borderId="8" xfId="5" applyNumberFormat="1" applyFont="1" applyBorder="1" applyProtection="1">
      <protection locked="0"/>
    </xf>
    <xf numFmtId="0" fontId="9" fillId="0" borderId="28" xfId="5" applyBorder="1" applyProtection="1">
      <protection locked="0"/>
    </xf>
    <xf numFmtId="0" fontId="5" fillId="0" borderId="28" xfId="5" applyFont="1" applyBorder="1" applyProtection="1">
      <protection locked="0"/>
    </xf>
    <xf numFmtId="0" fontId="4" fillId="0" borderId="28" xfId="5" applyFont="1" applyBorder="1" applyProtection="1">
      <protection locked="0"/>
    </xf>
    <xf numFmtId="2" fontId="4" fillId="0" borderId="8" xfId="5" applyNumberFormat="1" applyFont="1" applyBorder="1" applyProtection="1">
      <protection locked="0"/>
    </xf>
    <xf numFmtId="169" fontId="1" fillId="0" borderId="0" xfId="5" applyNumberFormat="1" applyFont="1" applyProtection="1">
      <protection locked="0"/>
    </xf>
    <xf numFmtId="0" fontId="3" fillId="0" borderId="29" xfId="5" applyFont="1" applyBorder="1" applyProtection="1">
      <protection locked="0"/>
    </xf>
    <xf numFmtId="0" fontId="3" fillId="0" borderId="30" xfId="5" applyFont="1" applyBorder="1" applyProtection="1">
      <protection locked="0"/>
    </xf>
    <xf numFmtId="0" fontId="9" fillId="0" borderId="8" xfId="5" applyBorder="1" applyProtection="1">
      <protection locked="0"/>
    </xf>
    <xf numFmtId="10" fontId="9" fillId="0" borderId="8" xfId="5" applyNumberFormat="1" applyBorder="1" applyProtection="1">
      <protection locked="0"/>
    </xf>
    <xf numFmtId="10" fontId="9" fillId="0" borderId="0" xfId="5" applyNumberFormat="1" applyProtection="1">
      <protection locked="0"/>
    </xf>
    <xf numFmtId="0" fontId="12" fillId="7" borderId="0" xfId="5" applyFont="1" applyFill="1" applyProtection="1">
      <protection locked="0"/>
    </xf>
    <xf numFmtId="0" fontId="9" fillId="0" borderId="9" xfId="5" applyBorder="1" applyProtection="1">
      <protection locked="0"/>
    </xf>
    <xf numFmtId="0" fontId="3" fillId="0" borderId="32" xfId="5" applyFont="1" applyBorder="1" applyProtection="1">
      <protection locked="0"/>
    </xf>
    <xf numFmtId="0" fontId="3" fillId="0" borderId="9" xfId="5" applyFont="1" applyBorder="1" applyProtection="1">
      <protection locked="0"/>
    </xf>
    <xf numFmtId="169" fontId="9" fillId="0" borderId="8" xfId="5" applyNumberFormat="1" applyBorder="1" applyProtection="1">
      <protection locked="0"/>
    </xf>
    <xf numFmtId="0" fontId="3" fillId="2" borderId="14" xfId="5" applyFont="1" applyFill="1" applyBorder="1" applyProtection="1">
      <protection locked="0"/>
    </xf>
    <xf numFmtId="0" fontId="9" fillId="2" borderId="15" xfId="5" applyFill="1" applyBorder="1" applyProtection="1">
      <protection locked="0"/>
    </xf>
    <xf numFmtId="0" fontId="9" fillId="2" borderId="42" xfId="5" applyFill="1" applyBorder="1" applyProtection="1">
      <protection locked="0"/>
    </xf>
    <xf numFmtId="0" fontId="9" fillId="2" borderId="0" xfId="5" applyFill="1" applyProtection="1">
      <protection locked="0"/>
    </xf>
    <xf numFmtId="0" fontId="9" fillId="2" borderId="43" xfId="5" applyFill="1" applyBorder="1" applyProtection="1">
      <protection locked="0"/>
    </xf>
    <xf numFmtId="0" fontId="9" fillId="0" borderId="40" xfId="5" applyBorder="1" applyProtection="1">
      <protection locked="0"/>
    </xf>
    <xf numFmtId="0" fontId="9" fillId="0" borderId="41" xfId="5" applyBorder="1" applyProtection="1">
      <protection locked="0"/>
    </xf>
    <xf numFmtId="10" fontId="4" fillId="0" borderId="45" xfId="5" applyNumberFormat="1" applyFont="1" applyBorder="1" applyProtection="1">
      <protection locked="0"/>
    </xf>
    <xf numFmtId="10" fontId="4" fillId="3" borderId="46" xfId="5" applyNumberFormat="1" applyFont="1" applyFill="1" applyBorder="1" applyProtection="1">
      <protection locked="0"/>
    </xf>
    <xf numFmtId="10" fontId="4" fillId="0" borderId="46" xfId="5" applyNumberFormat="1" applyFont="1" applyBorder="1" applyProtection="1">
      <protection locked="0"/>
    </xf>
    <xf numFmtId="10" fontId="4" fillId="0" borderId="47" xfId="5" applyNumberFormat="1" applyFont="1" applyBorder="1" applyProtection="1">
      <protection locked="0"/>
    </xf>
    <xf numFmtId="167" fontId="4" fillId="0" borderId="42" xfId="5" applyNumberFormat="1" applyFont="1" applyBorder="1" applyProtection="1">
      <protection locked="0"/>
    </xf>
    <xf numFmtId="0" fontId="9" fillId="0" borderId="12" xfId="5" applyBorder="1" applyProtection="1">
      <protection locked="0"/>
    </xf>
    <xf numFmtId="167" fontId="4" fillId="3" borderId="42" xfId="5" applyNumberFormat="1" applyFont="1" applyFill="1" applyBorder="1" applyProtection="1">
      <protection locked="0"/>
    </xf>
    <xf numFmtId="167" fontId="4" fillId="0" borderId="51" xfId="5" applyNumberFormat="1" applyFont="1" applyBorder="1" applyProtection="1">
      <protection locked="0"/>
    </xf>
    <xf numFmtId="168" fontId="18" fillId="0" borderId="8" xfId="5" applyNumberFormat="1" applyFont="1" applyBorder="1" applyProtection="1">
      <protection locked="0"/>
    </xf>
    <xf numFmtId="171" fontId="18" fillId="0" borderId="8" xfId="5" applyNumberFormat="1" applyFont="1" applyBorder="1" applyProtection="1">
      <protection locked="0"/>
    </xf>
    <xf numFmtId="0" fontId="9" fillId="2" borderId="8" xfId="5" applyFill="1" applyBorder="1" applyProtection="1">
      <protection locked="0"/>
    </xf>
    <xf numFmtId="0" fontId="9" fillId="0" borderId="57" xfId="5" applyBorder="1" applyProtection="1">
      <protection locked="0"/>
    </xf>
    <xf numFmtId="168" fontId="4" fillId="0" borderId="0" xfId="5" applyNumberFormat="1" applyFont="1" applyProtection="1">
      <protection locked="0"/>
    </xf>
    <xf numFmtId="0" fontId="9" fillId="0" borderId="63" xfId="5" applyBorder="1" applyProtection="1">
      <protection locked="0"/>
    </xf>
    <xf numFmtId="0" fontId="10" fillId="0" borderId="65" xfId="5" applyFont="1" applyBorder="1" applyProtection="1">
      <protection locked="0"/>
    </xf>
    <xf numFmtId="9" fontId="10" fillId="0" borderId="66" xfId="6" applyFont="1" applyBorder="1" applyProtection="1"/>
    <xf numFmtId="9" fontId="5" fillId="0" borderId="0" xfId="5" applyNumberFormat="1" applyFont="1" applyProtection="1">
      <protection locked="0"/>
    </xf>
    <xf numFmtId="0" fontId="9" fillId="0" borderId="26" xfId="5" applyBorder="1" applyAlignment="1" applyProtection="1">
      <alignment horizontal="left" indent="1"/>
      <protection locked="0"/>
    </xf>
    <xf numFmtId="0" fontId="9" fillId="0" borderId="0" xfId="5" quotePrefix="1" applyAlignment="1" applyProtection="1">
      <alignment horizontal="left" indent="1"/>
      <protection locked="0"/>
    </xf>
    <xf numFmtId="169" fontId="5" fillId="0" borderId="26" xfId="5" applyNumberFormat="1" applyFont="1" applyBorder="1" applyProtection="1">
      <protection locked="0"/>
    </xf>
    <xf numFmtId="0" fontId="17" fillId="2" borderId="0" xfId="5" applyFont="1" applyFill="1" applyProtection="1">
      <protection locked="0"/>
    </xf>
    <xf numFmtId="0" fontId="1" fillId="2" borderId="0" xfId="5" applyFont="1" applyFill="1" applyProtection="1">
      <protection locked="0"/>
    </xf>
    <xf numFmtId="167" fontId="5" fillId="2" borderId="0" xfId="6" applyNumberFormat="1" applyFont="1" applyFill="1" applyProtection="1">
      <protection locked="0"/>
    </xf>
    <xf numFmtId="167" fontId="4" fillId="0" borderId="0" xfId="5" applyNumberFormat="1" applyFont="1" applyProtection="1">
      <protection locked="0"/>
    </xf>
    <xf numFmtId="10" fontId="4" fillId="0" borderId="0" xfId="5" applyNumberFormat="1" applyFont="1" applyProtection="1">
      <protection locked="0"/>
    </xf>
    <xf numFmtId="167" fontId="9" fillId="0" borderId="0" xfId="5" applyNumberFormat="1" applyProtection="1">
      <protection locked="0"/>
    </xf>
    <xf numFmtId="169" fontId="5" fillId="0" borderId="0" xfId="5" applyNumberFormat="1" applyFont="1" applyProtection="1">
      <protection locked="0"/>
    </xf>
    <xf numFmtId="1" fontId="9" fillId="0" borderId="0" xfId="5" applyNumberFormat="1" applyProtection="1">
      <protection locked="0"/>
    </xf>
    <xf numFmtId="167" fontId="9" fillId="0" borderId="8" xfId="5" applyNumberFormat="1" applyBorder="1" applyProtection="1">
      <protection locked="0"/>
    </xf>
    <xf numFmtId="167" fontId="4" fillId="0" borderId="8" xfId="5" applyNumberFormat="1" applyFont="1" applyBorder="1" applyProtection="1">
      <protection locked="0"/>
    </xf>
    <xf numFmtId="0" fontId="0" fillId="0" borderId="0" xfId="0" applyAlignment="1">
      <alignment wrapText="1"/>
    </xf>
    <xf numFmtId="0" fontId="20" fillId="0" borderId="0" xfId="0" applyFont="1"/>
    <xf numFmtId="0" fontId="0" fillId="0" borderId="70" xfId="0" applyBorder="1"/>
    <xf numFmtId="0" fontId="0" fillId="0" borderId="68" xfId="0" applyBorder="1"/>
    <xf numFmtId="0" fontId="20" fillId="13" borderId="0" xfId="0" applyFont="1" applyFill="1"/>
    <xf numFmtId="0" fontId="0" fillId="3" borderId="7" xfId="0" applyFill="1" applyBorder="1" applyProtection="1">
      <protection locked="0"/>
    </xf>
    <xf numFmtId="0" fontId="3" fillId="3" borderId="7" xfId="0" applyFont="1" applyFill="1" applyBorder="1" applyProtection="1">
      <protection locked="0"/>
    </xf>
    <xf numFmtId="167" fontId="4" fillId="0" borderId="0" xfId="0" applyNumberFormat="1" applyFont="1" applyAlignment="1" applyProtection="1">
      <alignment horizontal="center"/>
      <protection locked="0"/>
    </xf>
    <xf numFmtId="0" fontId="0" fillId="3" borderId="0" xfId="0" applyFill="1" applyProtection="1">
      <protection locked="0"/>
    </xf>
    <xf numFmtId="0" fontId="2" fillId="13" borderId="0" xfId="0" applyFont="1" applyFill="1" applyProtection="1">
      <protection locked="0"/>
    </xf>
    <xf numFmtId="0" fontId="2" fillId="13" borderId="72" xfId="0" applyFont="1" applyFill="1" applyBorder="1" applyProtection="1">
      <protection locked="0"/>
    </xf>
    <xf numFmtId="0" fontId="2" fillId="13" borderId="0" xfId="0" applyFont="1" applyFill="1" applyAlignment="1" applyProtection="1">
      <alignment horizontal="center"/>
      <protection locked="0"/>
    </xf>
    <xf numFmtId="0" fontId="3" fillId="8" borderId="71" xfId="0" applyFont="1" applyFill="1" applyBorder="1" applyProtection="1">
      <protection locked="0"/>
    </xf>
    <xf numFmtId="0" fontId="3" fillId="14" borderId="0" xfId="5" applyFont="1" applyFill="1" applyProtection="1">
      <protection locked="0"/>
    </xf>
    <xf numFmtId="0" fontId="3" fillId="14" borderId="9" xfId="5" applyFont="1" applyFill="1" applyBorder="1" applyProtection="1">
      <protection locked="0"/>
    </xf>
    <xf numFmtId="0" fontId="9" fillId="3" borderId="0" xfId="5" applyFill="1" applyProtection="1">
      <protection locked="0"/>
    </xf>
    <xf numFmtId="0" fontId="3" fillId="14" borderId="10" xfId="5" applyFont="1" applyFill="1" applyBorder="1" applyProtection="1">
      <protection locked="0"/>
    </xf>
    <xf numFmtId="0" fontId="12" fillId="13" borderId="0" xfId="5" applyFont="1" applyFill="1" applyProtection="1">
      <protection locked="0"/>
    </xf>
    <xf numFmtId="0" fontId="12" fillId="13" borderId="0" xfId="5" applyFont="1" applyFill="1" applyAlignment="1" applyProtection="1">
      <alignment horizontal="right"/>
      <protection locked="0"/>
    </xf>
    <xf numFmtId="17" fontId="2" fillId="7" borderId="0" xfId="5" applyNumberFormat="1" applyFont="1" applyFill="1" applyAlignment="1" applyProtection="1">
      <alignment horizontal="right"/>
      <protection locked="0"/>
    </xf>
    <xf numFmtId="17" fontId="2" fillId="7" borderId="0" xfId="5" applyNumberFormat="1" applyFont="1" applyFill="1" applyProtection="1">
      <protection locked="0"/>
    </xf>
    <xf numFmtId="0" fontId="2" fillId="7" borderId="17" xfId="5" applyFont="1" applyFill="1" applyBorder="1" applyProtection="1">
      <protection locked="0"/>
    </xf>
    <xf numFmtId="0" fontId="2" fillId="7" borderId="18" xfId="5" applyFont="1" applyFill="1" applyBorder="1" applyAlignment="1" applyProtection="1">
      <alignment horizontal="right"/>
      <protection locked="0"/>
    </xf>
    <xf numFmtId="0" fontId="2" fillId="7" borderId="21" xfId="5" applyFont="1" applyFill="1" applyBorder="1" applyProtection="1">
      <protection locked="0"/>
    </xf>
    <xf numFmtId="17" fontId="2" fillId="7" borderId="22" xfId="5" applyNumberFormat="1" applyFont="1" applyFill="1" applyBorder="1" applyAlignment="1" applyProtection="1">
      <alignment horizontal="right"/>
      <protection locked="0"/>
    </xf>
    <xf numFmtId="17" fontId="2" fillId="7" borderId="21" xfId="5" applyNumberFormat="1" applyFont="1" applyFill="1" applyBorder="1" applyProtection="1">
      <protection locked="0"/>
    </xf>
    <xf numFmtId="17" fontId="2" fillId="7" borderId="23" xfId="5" applyNumberFormat="1" applyFont="1" applyFill="1" applyBorder="1" applyProtection="1">
      <protection locked="0"/>
    </xf>
    <xf numFmtId="17" fontId="2" fillId="7" borderId="24" xfId="5" applyNumberFormat="1" applyFont="1" applyFill="1" applyBorder="1" applyProtection="1">
      <protection locked="0"/>
    </xf>
    <xf numFmtId="0" fontId="2" fillId="7" borderId="0" xfId="5" applyFont="1" applyFill="1" applyProtection="1">
      <protection locked="0"/>
    </xf>
    <xf numFmtId="0" fontId="3" fillId="14" borderId="14" xfId="5" applyFont="1" applyFill="1" applyBorder="1" applyProtection="1">
      <protection locked="0"/>
    </xf>
    <xf numFmtId="0" fontId="3" fillId="14" borderId="16" xfId="5" applyFont="1" applyFill="1" applyBorder="1" applyProtection="1">
      <protection locked="0"/>
    </xf>
    <xf numFmtId="0" fontId="12" fillId="16" borderId="59" xfId="5" applyFont="1" applyFill="1" applyBorder="1" applyProtection="1">
      <protection locked="0"/>
    </xf>
    <xf numFmtId="0" fontId="2" fillId="16" borderId="61" xfId="5" applyFont="1" applyFill="1" applyBorder="1" applyProtection="1">
      <protection locked="0"/>
    </xf>
    <xf numFmtId="10" fontId="2" fillId="16" borderId="62" xfId="6" applyNumberFormat="1" applyFont="1" applyFill="1" applyBorder="1" applyProtection="1"/>
    <xf numFmtId="0" fontId="2" fillId="15" borderId="80" xfId="5" applyFont="1" applyFill="1" applyBorder="1" applyProtection="1">
      <protection locked="0"/>
    </xf>
    <xf numFmtId="0" fontId="3" fillId="15" borderId="81" xfId="5" applyFont="1" applyFill="1" applyBorder="1" applyProtection="1">
      <protection locked="0"/>
    </xf>
    <xf numFmtId="0" fontId="3" fillId="14" borderId="34" xfId="5" applyFont="1" applyFill="1" applyBorder="1" applyProtection="1">
      <protection locked="0"/>
    </xf>
    <xf numFmtId="0" fontId="3" fillId="14" borderId="35" xfId="5" applyFont="1" applyFill="1" applyBorder="1" applyProtection="1">
      <protection locked="0"/>
    </xf>
    <xf numFmtId="10" fontId="3" fillId="14" borderId="36" xfId="6" applyNumberFormat="1" applyFont="1" applyFill="1" applyBorder="1" applyProtection="1"/>
    <xf numFmtId="0" fontId="9" fillId="0" borderId="82" xfId="5" applyBorder="1" applyProtection="1">
      <protection locked="0"/>
    </xf>
    <xf numFmtId="0" fontId="3" fillId="17" borderId="0" xfId="5" applyFont="1" applyFill="1" applyProtection="1">
      <protection locked="0"/>
    </xf>
    <xf numFmtId="0" fontId="3" fillId="17" borderId="9" xfId="5" applyFont="1" applyFill="1" applyBorder="1" applyProtection="1">
      <protection locked="0"/>
    </xf>
    <xf numFmtId="0" fontId="3" fillId="17" borderId="10" xfId="5" applyFont="1" applyFill="1" applyBorder="1" applyProtection="1">
      <protection locked="0"/>
    </xf>
    <xf numFmtId="0" fontId="3" fillId="14" borderId="11" xfId="5" applyFont="1" applyFill="1" applyBorder="1" applyProtection="1">
      <protection locked="0"/>
    </xf>
    <xf numFmtId="0" fontId="3" fillId="17" borderId="11" xfId="5" applyFont="1" applyFill="1" applyBorder="1" applyProtection="1">
      <protection locked="0"/>
    </xf>
    <xf numFmtId="0" fontId="3" fillId="17" borderId="14" xfId="5" applyFont="1" applyFill="1" applyBorder="1" applyProtection="1">
      <protection locked="0"/>
    </xf>
    <xf numFmtId="0" fontId="3" fillId="17" borderId="16" xfId="5" applyFont="1" applyFill="1" applyBorder="1" applyProtection="1">
      <protection locked="0"/>
    </xf>
    <xf numFmtId="0" fontId="2" fillId="9" borderId="0" xfId="5" applyFont="1" applyFill="1" applyProtection="1">
      <protection locked="0"/>
    </xf>
    <xf numFmtId="10" fontId="33" fillId="0" borderId="109" xfId="0" applyNumberFormat="1" applyFont="1" applyBorder="1" applyProtection="1">
      <protection locked="0"/>
    </xf>
    <xf numFmtId="0" fontId="2" fillId="18" borderId="0" xfId="0" applyFont="1" applyFill="1" applyProtection="1">
      <protection locked="0"/>
    </xf>
    <xf numFmtId="0" fontId="0" fillId="18" borderId="0" xfId="0" applyFill="1" applyProtection="1">
      <protection locked="0"/>
    </xf>
    <xf numFmtId="0" fontId="2" fillId="18" borderId="2" xfId="0" applyFont="1" applyFill="1" applyBorder="1" applyAlignment="1" applyProtection="1">
      <alignment horizontal="center" wrapText="1"/>
      <protection locked="0"/>
    </xf>
    <xf numFmtId="0" fontId="2" fillId="18" borderId="3" xfId="0" applyFont="1" applyFill="1" applyBorder="1" applyAlignment="1" applyProtection="1">
      <alignment horizontal="center" wrapText="1"/>
      <protection locked="0"/>
    </xf>
    <xf numFmtId="0" fontId="2" fillId="18" borderId="3" xfId="0" applyFont="1" applyFill="1" applyBorder="1" applyAlignment="1" applyProtection="1">
      <alignment horizontal="center"/>
      <protection locked="0"/>
    </xf>
    <xf numFmtId="0" fontId="2" fillId="18" borderId="4" xfId="0" applyFont="1" applyFill="1" applyBorder="1" applyAlignment="1" applyProtection="1">
      <alignment horizontal="center" wrapText="1"/>
      <protection locked="0"/>
    </xf>
    <xf numFmtId="0" fontId="2" fillId="18" borderId="0" xfId="0" applyFont="1" applyFill="1" applyAlignment="1" applyProtection="1">
      <alignment horizontal="right"/>
      <protection locked="0"/>
    </xf>
    <xf numFmtId="0" fontId="2" fillId="18" borderId="2" xfId="0" applyFont="1" applyFill="1" applyBorder="1" applyAlignment="1" applyProtection="1">
      <alignment horizontal="center"/>
      <protection locked="0"/>
    </xf>
    <xf numFmtId="0" fontId="2" fillId="18" borderId="4" xfId="0" applyFont="1" applyFill="1" applyBorder="1" applyAlignment="1" applyProtection="1">
      <alignment horizontal="center"/>
      <protection locked="0"/>
    </xf>
    <xf numFmtId="0" fontId="0" fillId="18" borderId="0" xfId="0" applyFill="1" applyAlignment="1" applyProtection="1">
      <alignment horizontal="right"/>
      <protection locked="0"/>
    </xf>
    <xf numFmtId="165" fontId="0" fillId="2" borderId="114" xfId="1" applyNumberFormat="1" applyFont="1" applyFill="1" applyBorder="1" applyAlignment="1" applyProtection="1">
      <alignment horizontal="center"/>
    </xf>
    <xf numFmtId="0" fontId="35" fillId="13" borderId="0" xfId="0" applyFont="1" applyFill="1"/>
    <xf numFmtId="0" fontId="2" fillId="18" borderId="69" xfId="0" applyFont="1" applyFill="1" applyBorder="1"/>
    <xf numFmtId="0" fontId="2" fillId="18" borderId="83" xfId="0" applyFont="1" applyFill="1" applyBorder="1"/>
    <xf numFmtId="168" fontId="11" fillId="0" borderId="0" xfId="5" applyNumberFormat="1" applyFont="1" applyProtection="1">
      <protection locked="0"/>
    </xf>
    <xf numFmtId="168" fontId="9" fillId="0" borderId="91" xfId="5" applyNumberFormat="1" applyBorder="1" applyProtection="1">
      <protection locked="0"/>
    </xf>
    <xf numFmtId="168" fontId="9" fillId="0" borderId="113" xfId="5" applyNumberFormat="1" applyBorder="1" applyProtection="1">
      <protection locked="0"/>
    </xf>
    <xf numFmtId="168" fontId="11" fillId="0" borderId="115" xfId="5" applyNumberFormat="1" applyFont="1" applyBorder="1" applyProtection="1">
      <protection locked="0"/>
    </xf>
    <xf numFmtId="0" fontId="2" fillId="2" borderId="116" xfId="0" applyFont="1" applyFill="1" applyBorder="1"/>
    <xf numFmtId="0" fontId="3" fillId="17" borderId="34" xfId="5" applyFont="1" applyFill="1" applyBorder="1" applyProtection="1">
      <protection locked="0"/>
    </xf>
    <xf numFmtId="0" fontId="3" fillId="17" borderId="35" xfId="5" applyFont="1" applyFill="1" applyBorder="1" applyProtection="1">
      <protection locked="0"/>
    </xf>
    <xf numFmtId="10" fontId="3" fillId="17" borderId="36" xfId="6" applyNumberFormat="1" applyFont="1" applyFill="1" applyBorder="1" applyProtection="1"/>
    <xf numFmtId="0" fontId="12" fillId="15" borderId="37" xfId="5" applyFont="1" applyFill="1" applyBorder="1" applyAlignment="1" applyProtection="1">
      <alignment horizontal="centerContinuous"/>
      <protection locked="0"/>
    </xf>
    <xf numFmtId="0" fontId="12" fillId="15" borderId="38" xfId="5" applyFont="1" applyFill="1" applyBorder="1" applyAlignment="1" applyProtection="1">
      <alignment horizontal="centerContinuous"/>
      <protection locked="0"/>
    </xf>
    <xf numFmtId="0" fontId="12" fillId="15" borderId="39" xfId="5" applyFont="1" applyFill="1" applyBorder="1" applyAlignment="1" applyProtection="1">
      <alignment horizontal="centerContinuous"/>
      <protection locked="0"/>
    </xf>
    <xf numFmtId="0" fontId="12" fillId="15" borderId="40" xfId="5" applyFont="1" applyFill="1" applyBorder="1" applyAlignment="1" applyProtection="1">
      <alignment horizontal="centerContinuous"/>
      <protection locked="0"/>
    </xf>
    <xf numFmtId="0" fontId="12" fillId="15" borderId="0" xfId="5" applyFont="1" applyFill="1" applyAlignment="1" applyProtection="1">
      <alignment horizontal="centerContinuous"/>
      <protection locked="0"/>
    </xf>
    <xf numFmtId="0" fontId="12" fillId="15" borderId="41" xfId="5" applyFont="1" applyFill="1" applyBorder="1" applyAlignment="1" applyProtection="1">
      <alignment horizontal="centerContinuous"/>
      <protection locked="0"/>
    </xf>
    <xf numFmtId="0" fontId="12" fillId="9" borderId="37" xfId="5" applyFont="1" applyFill="1" applyBorder="1" applyAlignment="1" applyProtection="1">
      <alignment horizontal="centerContinuous"/>
      <protection locked="0"/>
    </xf>
    <xf numFmtId="0" fontId="12" fillId="9" borderId="38" xfId="5" applyFont="1" applyFill="1" applyBorder="1" applyAlignment="1" applyProtection="1">
      <alignment horizontal="centerContinuous"/>
      <protection locked="0"/>
    </xf>
    <xf numFmtId="0" fontId="12" fillId="9" borderId="39" xfId="5" applyFont="1" applyFill="1" applyBorder="1" applyAlignment="1" applyProtection="1">
      <alignment horizontal="centerContinuous"/>
      <protection locked="0"/>
    </xf>
    <xf numFmtId="0" fontId="10" fillId="17" borderId="49" xfId="5" applyFont="1" applyFill="1" applyBorder="1" applyProtection="1">
      <protection locked="0"/>
    </xf>
    <xf numFmtId="0" fontId="10" fillId="17" borderId="10" xfId="5" applyFont="1" applyFill="1" applyBorder="1" applyProtection="1">
      <protection locked="0"/>
    </xf>
    <xf numFmtId="0" fontId="10" fillId="14" borderId="49" xfId="5" applyFont="1" applyFill="1" applyBorder="1" applyProtection="1">
      <protection locked="0"/>
    </xf>
    <xf numFmtId="0" fontId="10" fillId="14" borderId="10" xfId="5" applyFont="1" applyFill="1" applyBorder="1" applyProtection="1">
      <protection locked="0"/>
    </xf>
    <xf numFmtId="179" fontId="18" fillId="0" borderId="8" xfId="5" applyNumberFormat="1" applyFont="1" applyBorder="1" applyProtection="1">
      <protection locked="0"/>
    </xf>
    <xf numFmtId="179" fontId="5" fillId="0" borderId="5" xfId="0" applyNumberFormat="1" applyFont="1" applyBorder="1" applyAlignment="1" applyProtection="1">
      <alignment horizontal="center"/>
      <protection locked="0"/>
    </xf>
    <xf numFmtId="179" fontId="5" fillId="0" borderId="0" xfId="0" applyNumberFormat="1" applyFont="1" applyAlignment="1" applyProtection="1">
      <alignment horizontal="center"/>
      <protection locked="0"/>
    </xf>
    <xf numFmtId="179" fontId="5" fillId="2" borderId="5" xfId="0" applyNumberFormat="1" applyFont="1" applyFill="1" applyBorder="1" applyAlignment="1" applyProtection="1">
      <alignment horizontal="center"/>
      <protection locked="0"/>
    </xf>
    <xf numFmtId="179" fontId="5" fillId="2" borderId="0" xfId="0" applyNumberFormat="1" applyFont="1" applyFill="1" applyAlignment="1" applyProtection="1">
      <alignment horizontal="center"/>
      <protection locked="0"/>
    </xf>
    <xf numFmtId="179" fontId="5" fillId="0" borderId="6" xfId="0" applyNumberFormat="1" applyFont="1" applyBorder="1" applyAlignment="1" applyProtection="1">
      <alignment horizontal="center"/>
      <protection locked="0"/>
    </xf>
    <xf numFmtId="0" fontId="16" fillId="0" borderId="0" xfId="5" applyFont="1" applyAlignment="1" applyProtection="1">
      <alignment horizontal="right"/>
      <protection locked="0"/>
    </xf>
    <xf numFmtId="169" fontId="4" fillId="0" borderId="8" xfId="5" applyNumberFormat="1" applyFont="1" applyBorder="1" applyProtection="1">
      <protection locked="0"/>
    </xf>
    <xf numFmtId="179" fontId="4" fillId="0" borderId="8" xfId="5" applyNumberFormat="1" applyFont="1" applyBorder="1" applyProtection="1">
      <protection locked="0"/>
    </xf>
    <xf numFmtId="0" fontId="34" fillId="13" borderId="0" xfId="0" applyFont="1" applyFill="1" applyProtection="1">
      <protection locked="0"/>
    </xf>
    <xf numFmtId="0" fontId="20" fillId="13" borderId="0" xfId="0" applyFont="1" applyFill="1" applyProtection="1">
      <protection locked="0"/>
    </xf>
    <xf numFmtId="3" fontId="0" fillId="0" borderId="0" xfId="0" applyNumberFormat="1" applyProtection="1">
      <protection locked="0"/>
    </xf>
    <xf numFmtId="165" fontId="0" fillId="3" borderId="7" xfId="0" applyNumberFormat="1" applyFill="1" applyBorder="1" applyAlignment="1" applyProtection="1">
      <alignment horizontal="center"/>
      <protection locked="0"/>
    </xf>
    <xf numFmtId="3" fontId="0" fillId="3" borderId="0" xfId="0" applyNumberFormat="1" applyFill="1" applyAlignment="1" applyProtection="1">
      <alignment horizontal="center"/>
      <protection locked="0"/>
    </xf>
    <xf numFmtId="3" fontId="0" fillId="0" borderId="0" xfId="0" applyNumberFormat="1" applyAlignment="1" applyProtection="1">
      <alignment horizontal="center"/>
      <protection locked="0"/>
    </xf>
    <xf numFmtId="166" fontId="3" fillId="8" borderId="71" xfId="0" applyNumberFormat="1" applyFont="1" applyFill="1" applyBorder="1" applyAlignment="1" applyProtection="1">
      <alignment horizontal="center"/>
      <protection locked="0"/>
    </xf>
    <xf numFmtId="0" fontId="20" fillId="13" borderId="73" xfId="0" applyFont="1" applyFill="1" applyBorder="1" applyProtection="1">
      <protection locked="0"/>
    </xf>
    <xf numFmtId="0" fontId="2" fillId="13" borderId="74" xfId="0" applyFont="1" applyFill="1" applyBorder="1" applyAlignment="1" applyProtection="1">
      <alignment horizontal="right"/>
      <protection locked="0"/>
    </xf>
    <xf numFmtId="0" fontId="0" fillId="0" borderId="75" xfId="0" applyBorder="1" applyProtection="1">
      <protection locked="0"/>
    </xf>
    <xf numFmtId="179" fontId="5" fillId="0" borderId="0" xfId="0" applyNumberFormat="1" applyFont="1" applyProtection="1">
      <protection locked="0"/>
    </xf>
    <xf numFmtId="0" fontId="0" fillId="0" borderId="76" xfId="0" applyBorder="1" applyProtection="1">
      <protection locked="0"/>
    </xf>
    <xf numFmtId="0" fontId="0" fillId="3" borderId="75" xfId="0" applyFill="1" applyBorder="1" applyProtection="1">
      <protection locked="0"/>
    </xf>
    <xf numFmtId="0" fontId="5" fillId="3" borderId="0" xfId="0" applyFont="1" applyFill="1" applyProtection="1">
      <protection locked="0"/>
    </xf>
    <xf numFmtId="0" fontId="0" fillId="0" borderId="77" xfId="0" applyBorder="1" applyProtection="1">
      <protection locked="0"/>
    </xf>
    <xf numFmtId="0" fontId="0" fillId="0" borderId="78" xfId="0" applyBorder="1" applyProtection="1">
      <protection locked="0"/>
    </xf>
    <xf numFmtId="0" fontId="0" fillId="0" borderId="79" xfId="0" applyBorder="1" applyProtection="1">
      <protection locked="0"/>
    </xf>
    <xf numFmtId="179" fontId="0" fillId="2" borderId="0" xfId="0" applyNumberFormat="1" applyFill="1" applyAlignment="1">
      <alignment horizontal="center"/>
    </xf>
    <xf numFmtId="179" fontId="0" fillId="0" borderId="0" xfId="0" applyNumberFormat="1" applyAlignment="1">
      <alignment horizontal="center"/>
    </xf>
    <xf numFmtId="179" fontId="0" fillId="0" borderId="6" xfId="0" applyNumberFormat="1" applyBorder="1" applyAlignment="1">
      <alignment horizontal="center"/>
    </xf>
    <xf numFmtId="179" fontId="0" fillId="2" borderId="6" xfId="0" applyNumberFormat="1" applyFill="1" applyBorder="1" applyAlignment="1">
      <alignment horizontal="center"/>
    </xf>
    <xf numFmtId="165" fontId="0" fillId="3" borderId="7" xfId="0" applyNumberFormat="1" applyFill="1" applyBorder="1" applyAlignment="1">
      <alignment horizontal="center"/>
    </xf>
    <xf numFmtId="165" fontId="3" fillId="3" borderId="7" xfId="0" applyNumberFormat="1" applyFont="1" applyFill="1" applyBorder="1" applyAlignment="1">
      <alignment horizontal="center"/>
    </xf>
    <xf numFmtId="179" fontId="0" fillId="3" borderId="0" xfId="0" applyNumberFormat="1" applyFill="1" applyAlignment="1">
      <alignment horizontal="center"/>
    </xf>
    <xf numFmtId="3" fontId="0" fillId="3" borderId="0" xfId="0" applyNumberFormat="1" applyFill="1" applyAlignment="1">
      <alignment horizontal="center"/>
    </xf>
    <xf numFmtId="166" fontId="3" fillId="8" borderId="71" xfId="0" applyNumberFormat="1" applyFont="1" applyFill="1" applyBorder="1" applyAlignment="1">
      <alignment horizontal="center"/>
    </xf>
    <xf numFmtId="179" fontId="0" fillId="0" borderId="0" xfId="0" applyNumberFormat="1"/>
    <xf numFmtId="179" fontId="0" fillId="3" borderId="0" xfId="0" applyNumberFormat="1" applyFill="1"/>
    <xf numFmtId="167" fontId="0" fillId="0" borderId="78" xfId="0" applyNumberFormat="1" applyBorder="1"/>
    <xf numFmtId="167" fontId="5" fillId="0" borderId="0" xfId="0" applyNumberFormat="1" applyFont="1" applyProtection="1">
      <protection locked="0"/>
    </xf>
    <xf numFmtId="10" fontId="9" fillId="3" borderId="0" xfId="5" applyNumberFormat="1" applyFill="1" applyProtection="1">
      <protection locked="0"/>
    </xf>
    <xf numFmtId="0" fontId="4" fillId="0" borderId="41" xfId="5" applyFont="1" applyBorder="1" applyProtection="1">
      <protection locked="0"/>
    </xf>
    <xf numFmtId="0" fontId="18" fillId="0" borderId="41" xfId="5" applyFont="1" applyBorder="1" applyProtection="1">
      <protection locked="0"/>
    </xf>
    <xf numFmtId="168" fontId="4" fillId="0" borderId="8" xfId="5" applyNumberFormat="1" applyFont="1" applyBorder="1" applyProtection="1">
      <protection locked="0"/>
    </xf>
    <xf numFmtId="168" fontId="4" fillId="0" borderId="64" xfId="5" applyNumberFormat="1" applyFont="1" applyBorder="1" applyProtection="1">
      <protection locked="0"/>
    </xf>
    <xf numFmtId="167" fontId="9" fillId="2" borderId="0" xfId="5" applyNumberFormat="1" applyFill="1"/>
    <xf numFmtId="1" fontId="9" fillId="0" borderId="0" xfId="5" applyNumberFormat="1"/>
    <xf numFmtId="0" fontId="9" fillId="0" borderId="28" xfId="5" applyBorder="1"/>
    <xf numFmtId="169" fontId="1" fillId="0" borderId="0" xfId="5" applyNumberFormat="1" applyFont="1"/>
    <xf numFmtId="169" fontId="1" fillId="0" borderId="26" xfId="5" applyNumberFormat="1" applyFont="1" applyBorder="1"/>
    <xf numFmtId="10" fontId="3" fillId="0" borderId="31" xfId="5" applyNumberFormat="1" applyFont="1" applyBorder="1"/>
    <xf numFmtId="169" fontId="3" fillId="14" borderId="0" xfId="5" applyNumberFormat="1" applyFont="1" applyFill="1"/>
    <xf numFmtId="10" fontId="3" fillId="0" borderId="33" xfId="5" applyNumberFormat="1" applyFont="1" applyBorder="1"/>
    <xf numFmtId="10" fontId="9" fillId="3" borderId="0" xfId="5" applyNumberFormat="1" applyFill="1"/>
    <xf numFmtId="168" fontId="10" fillId="14" borderId="10" xfId="5" applyNumberFormat="1" applyFont="1" applyFill="1" applyBorder="1"/>
    <xf numFmtId="169" fontId="9" fillId="0" borderId="8" xfId="5" applyNumberFormat="1" applyBorder="1"/>
    <xf numFmtId="164" fontId="9" fillId="0" borderId="8" xfId="5" applyNumberFormat="1" applyBorder="1"/>
    <xf numFmtId="9" fontId="9" fillId="0" borderId="8" xfId="5" applyNumberFormat="1" applyBorder="1"/>
    <xf numFmtId="3" fontId="3" fillId="14" borderId="11" xfId="5" applyNumberFormat="1" applyFont="1" applyFill="1" applyBorder="1"/>
    <xf numFmtId="169" fontId="9" fillId="0" borderId="44" xfId="5" applyNumberFormat="1" applyBorder="1"/>
    <xf numFmtId="168" fontId="9" fillId="0" borderId="48" xfId="5" applyNumberFormat="1" applyBorder="1"/>
    <xf numFmtId="168" fontId="9" fillId="0" borderId="0" xfId="5" applyNumberFormat="1"/>
    <xf numFmtId="168" fontId="9" fillId="3" borderId="0" xfId="5" applyNumberFormat="1" applyFill="1"/>
    <xf numFmtId="168" fontId="9" fillId="0" borderId="43" xfId="5" applyNumberFormat="1" applyBorder="1"/>
    <xf numFmtId="168" fontId="9" fillId="3" borderId="48" xfId="5" applyNumberFormat="1" applyFill="1" applyBorder="1"/>
    <xf numFmtId="168" fontId="10" fillId="14" borderId="0" xfId="5" applyNumberFormat="1" applyFont="1" applyFill="1"/>
    <xf numFmtId="168" fontId="9" fillId="3" borderId="43" xfId="5" applyNumberFormat="1" applyFill="1" applyBorder="1"/>
    <xf numFmtId="168" fontId="9" fillId="0" borderId="52" xfId="5" applyNumberFormat="1" applyBorder="1"/>
    <xf numFmtId="168" fontId="9" fillId="0" borderId="53" xfId="5" applyNumberFormat="1" applyBorder="1"/>
    <xf numFmtId="168" fontId="9" fillId="3" borderId="53" xfId="5" applyNumberFormat="1" applyFill="1" applyBorder="1"/>
    <xf numFmtId="168" fontId="9" fillId="0" borderId="54" xfId="5" applyNumberFormat="1" applyBorder="1"/>
    <xf numFmtId="1" fontId="10" fillId="14" borderId="50" xfId="5" applyNumberFormat="1" applyFont="1" applyFill="1" applyBorder="1"/>
    <xf numFmtId="169" fontId="1" fillId="0" borderId="13" xfId="5" applyNumberFormat="1" applyFont="1" applyBorder="1"/>
    <xf numFmtId="168" fontId="3" fillId="14" borderId="15" xfId="5" applyNumberFormat="1" applyFont="1" applyFill="1" applyBorder="1"/>
    <xf numFmtId="168" fontId="18" fillId="0" borderId="8" xfId="5" applyNumberFormat="1" applyFont="1" applyBorder="1"/>
    <xf numFmtId="168" fontId="3" fillId="14" borderId="14" xfId="5" applyNumberFormat="1" applyFont="1" applyFill="1" applyBorder="1"/>
    <xf numFmtId="1" fontId="9" fillId="0" borderId="58" xfId="5" applyNumberFormat="1" applyBorder="1"/>
    <xf numFmtId="168" fontId="3" fillId="14" borderId="8" xfId="5" applyNumberFormat="1" applyFont="1" applyFill="1" applyBorder="1"/>
    <xf numFmtId="0" fontId="12" fillId="16" borderId="60" xfId="5" applyFont="1" applyFill="1" applyBorder="1" applyAlignment="1">
      <alignment horizontal="right"/>
    </xf>
    <xf numFmtId="168" fontId="9" fillId="0" borderId="64" xfId="5" applyNumberFormat="1" applyBorder="1"/>
    <xf numFmtId="179" fontId="4" fillId="0" borderId="64" xfId="5" applyNumberFormat="1" applyFont="1" applyBorder="1" applyProtection="1">
      <protection locked="0"/>
    </xf>
    <xf numFmtId="10" fontId="9" fillId="2" borderId="0" xfId="5" applyNumberFormat="1" applyFill="1"/>
    <xf numFmtId="179" fontId="1" fillId="0" borderId="0" xfId="5" applyNumberFormat="1" applyFont="1"/>
    <xf numFmtId="169" fontId="3" fillId="17" borderId="0" xfId="5" applyNumberFormat="1" applyFont="1" applyFill="1"/>
    <xf numFmtId="168" fontId="10" fillId="17" borderId="10" xfId="5" applyNumberFormat="1" applyFont="1" applyFill="1" applyBorder="1"/>
    <xf numFmtId="179" fontId="9" fillId="0" borderId="8" xfId="5" applyNumberFormat="1" applyBorder="1"/>
    <xf numFmtId="179" fontId="3" fillId="17" borderId="11" xfId="5" applyNumberFormat="1" applyFont="1" applyFill="1" applyBorder="1"/>
    <xf numFmtId="179" fontId="9" fillId="0" borderId="48" xfId="5" applyNumberFormat="1" applyBorder="1"/>
    <xf numFmtId="179" fontId="9" fillId="0" borderId="0" xfId="5" applyNumberFormat="1"/>
    <xf numFmtId="179" fontId="9" fillId="3" borderId="0" xfId="5" applyNumberFormat="1" applyFill="1"/>
    <xf numFmtId="179" fontId="9" fillId="0" borderId="43" xfId="5" applyNumberFormat="1" applyBorder="1"/>
    <xf numFmtId="179" fontId="9" fillId="3" borderId="48" xfId="5" applyNumberFormat="1" applyFill="1" applyBorder="1"/>
    <xf numFmtId="179" fontId="10" fillId="17" borderId="0" xfId="5" applyNumberFormat="1" applyFont="1" applyFill="1"/>
    <xf numFmtId="179" fontId="9" fillId="3" borderId="43" xfId="5" applyNumberFormat="1" applyFill="1" applyBorder="1"/>
    <xf numFmtId="179" fontId="9" fillId="0" borderId="52" xfId="5" applyNumberFormat="1" applyBorder="1"/>
    <xf numFmtId="179" fontId="9" fillId="0" borderId="53" xfId="5" applyNumberFormat="1" applyBorder="1"/>
    <xf numFmtId="179" fontId="9" fillId="3" borderId="53" xfId="5" applyNumberFormat="1" applyFill="1" applyBorder="1"/>
    <xf numFmtId="179" fontId="9" fillId="0" borderId="54" xfId="5" applyNumberFormat="1" applyBorder="1"/>
    <xf numFmtId="1" fontId="10" fillId="17" borderId="50" xfId="5" applyNumberFormat="1" applyFont="1" applyFill="1" applyBorder="1"/>
    <xf numFmtId="179" fontId="1" fillId="0" borderId="13" xfId="5" applyNumberFormat="1" applyFont="1" applyBorder="1"/>
    <xf numFmtId="179" fontId="3" fillId="17" borderId="15" xfId="5" applyNumberFormat="1" applyFont="1" applyFill="1" applyBorder="1"/>
    <xf numFmtId="179" fontId="3" fillId="17" borderId="14" xfId="5" applyNumberFormat="1" applyFont="1" applyFill="1" applyBorder="1"/>
    <xf numFmtId="179" fontId="3" fillId="17" borderId="8" xfId="5" applyNumberFormat="1" applyFont="1" applyFill="1" applyBorder="1"/>
    <xf numFmtId="179" fontId="9" fillId="0" borderId="64" xfId="5" applyNumberFormat="1" applyBorder="1"/>
    <xf numFmtId="172" fontId="37" fillId="0" borderId="0" xfId="0" applyNumberFormat="1" applyFont="1" applyAlignment="1" applyProtection="1">
      <alignment horizontal="left"/>
      <protection locked="0"/>
    </xf>
    <xf numFmtId="0" fontId="2" fillId="9" borderId="0" xfId="0" applyFont="1" applyFill="1" applyProtection="1">
      <protection locked="0"/>
    </xf>
    <xf numFmtId="0" fontId="20" fillId="9" borderId="0" xfId="0" applyFont="1" applyFill="1" applyProtection="1">
      <protection locked="0"/>
    </xf>
    <xf numFmtId="0" fontId="3" fillId="10" borderId="0" xfId="0" applyFont="1" applyFill="1" applyProtection="1">
      <protection locked="0"/>
    </xf>
    <xf numFmtId="165" fontId="5" fillId="0" borderId="0" xfId="0" applyNumberFormat="1" applyFont="1" applyProtection="1">
      <protection locked="0"/>
    </xf>
    <xf numFmtId="0" fontId="0" fillId="11" borderId="0" xfId="0" applyFill="1" applyProtection="1">
      <protection locked="0"/>
    </xf>
    <xf numFmtId="0" fontId="3" fillId="10" borderId="0" xfId="0" applyFont="1" applyFill="1" applyAlignment="1" applyProtection="1">
      <alignment horizontal="left" vertical="center"/>
      <protection locked="0"/>
    </xf>
    <xf numFmtId="0" fontId="3" fillId="10" borderId="0" xfId="0" applyFont="1" applyFill="1" applyAlignment="1" applyProtection="1">
      <alignment horizontal="left" vertical="center" wrapText="1"/>
      <protection locked="0"/>
    </xf>
    <xf numFmtId="179" fontId="5" fillId="11" borderId="0" xfId="0" applyNumberFormat="1" applyFont="1" applyFill="1" applyProtection="1">
      <protection locked="0"/>
    </xf>
    <xf numFmtId="165" fontId="0" fillId="0" borderId="0" xfId="0" applyNumberFormat="1"/>
    <xf numFmtId="167" fontId="0" fillId="0" borderId="0" xfId="0" applyNumberFormat="1"/>
    <xf numFmtId="165" fontId="0" fillId="11" borderId="0" xfId="0" applyNumberFormat="1" applyFill="1"/>
    <xf numFmtId="179" fontId="0" fillId="11" borderId="0" xfId="0" applyNumberFormat="1" applyFill="1"/>
    <xf numFmtId="173" fontId="23" fillId="0" borderId="0" xfId="9" applyNumberFormat="1" applyFont="1" applyProtection="1">
      <protection locked="0"/>
    </xf>
    <xf numFmtId="0" fontId="23" fillId="0" borderId="0" xfId="9" applyFont="1" applyProtection="1">
      <protection locked="0"/>
    </xf>
    <xf numFmtId="173" fontId="22" fillId="0" borderId="0" xfId="9" applyNumberFormat="1" applyFont="1" applyProtection="1">
      <protection locked="0"/>
    </xf>
    <xf numFmtId="0" fontId="38" fillId="18" borderId="0" xfId="9" applyFont="1" applyFill="1" applyProtection="1">
      <protection locked="0"/>
    </xf>
    <xf numFmtId="0" fontId="22" fillId="0" borderId="104" xfId="9" applyFont="1" applyBorder="1" applyProtection="1">
      <protection locked="0"/>
    </xf>
    <xf numFmtId="0" fontId="23" fillId="0" borderId="105" xfId="9" applyFont="1" applyBorder="1" applyProtection="1">
      <protection locked="0"/>
    </xf>
    <xf numFmtId="0" fontId="38" fillId="18" borderId="112" xfId="9" applyFont="1" applyFill="1" applyBorder="1" applyProtection="1">
      <protection locked="0"/>
    </xf>
    <xf numFmtId="0" fontId="22" fillId="0" borderId="106" xfId="9" applyFont="1" applyBorder="1" applyProtection="1">
      <protection locked="0"/>
    </xf>
    <xf numFmtId="0" fontId="24" fillId="0" borderId="107" xfId="9" applyFont="1" applyBorder="1" applyProtection="1">
      <protection locked="0"/>
    </xf>
    <xf numFmtId="0" fontId="23" fillId="0" borderId="104" xfId="9" applyFont="1" applyBorder="1" applyProtection="1">
      <protection locked="0"/>
    </xf>
    <xf numFmtId="0" fontId="25" fillId="0" borderId="0" xfId="9" applyFont="1" applyProtection="1">
      <protection locked="0"/>
    </xf>
    <xf numFmtId="0" fontId="25" fillId="0" borderId="108" xfId="9" applyFont="1" applyBorder="1" applyProtection="1">
      <protection locked="0"/>
    </xf>
    <xf numFmtId="174" fontId="26" fillId="0" borderId="109" xfId="9" applyNumberFormat="1" applyFont="1" applyBorder="1" applyProtection="1">
      <protection locked="0"/>
    </xf>
    <xf numFmtId="0" fontId="39" fillId="0" borderId="0" xfId="9" applyFont="1" applyAlignment="1" applyProtection="1">
      <alignment horizontal="left" indent="1"/>
      <protection locked="0"/>
    </xf>
    <xf numFmtId="0" fontId="23" fillId="0" borderId="108" xfId="9" applyFont="1" applyBorder="1" applyProtection="1">
      <protection locked="0"/>
    </xf>
    <xf numFmtId="0" fontId="23" fillId="0" borderId="109" xfId="9" applyFont="1" applyBorder="1" applyProtection="1">
      <protection locked="0"/>
    </xf>
    <xf numFmtId="0" fontId="23" fillId="3" borderId="108" xfId="9" applyFont="1" applyFill="1" applyBorder="1" applyProtection="1">
      <protection locked="0"/>
    </xf>
    <xf numFmtId="167" fontId="26" fillId="3" borderId="109" xfId="9" applyNumberFormat="1" applyFont="1" applyFill="1" applyBorder="1" applyProtection="1">
      <protection locked="0"/>
    </xf>
    <xf numFmtId="167" fontId="27" fillId="0" borderId="109" xfId="9" applyNumberFormat="1" applyFont="1" applyBorder="1" applyProtection="1">
      <protection locked="0"/>
    </xf>
    <xf numFmtId="10" fontId="26" fillId="0" borderId="109" xfId="9" applyNumberFormat="1" applyFont="1" applyBorder="1" applyProtection="1">
      <protection locked="0"/>
    </xf>
    <xf numFmtId="176" fontId="23" fillId="0" borderId="0" xfId="9" applyNumberFormat="1" applyFont="1" applyProtection="1">
      <protection locked="0"/>
    </xf>
    <xf numFmtId="0" fontId="25" fillId="3" borderId="108" xfId="9" applyFont="1" applyFill="1" applyBorder="1" applyProtection="1">
      <protection locked="0"/>
    </xf>
    <xf numFmtId="169" fontId="26" fillId="3" borderId="109" xfId="9" applyNumberFormat="1" applyFont="1" applyFill="1" applyBorder="1" applyProtection="1">
      <protection locked="0"/>
    </xf>
    <xf numFmtId="0" fontId="23" fillId="0" borderId="0" xfId="9" applyFont="1" applyAlignment="1" applyProtection="1">
      <alignment horizontal="left" indent="1"/>
      <protection locked="0"/>
    </xf>
    <xf numFmtId="173" fontId="23" fillId="0" borderId="0" xfId="9" applyNumberFormat="1" applyFont="1" applyAlignment="1" applyProtection="1">
      <alignment horizontal="left" indent="1"/>
      <protection locked="0"/>
    </xf>
    <xf numFmtId="165" fontId="26" fillId="0" borderId="0" xfId="9" applyNumberFormat="1" applyFont="1" applyProtection="1">
      <protection locked="0"/>
    </xf>
    <xf numFmtId="0" fontId="27" fillId="0" borderId="0" xfId="9" applyFont="1" applyProtection="1">
      <protection locked="0"/>
    </xf>
    <xf numFmtId="0" fontId="28" fillId="0" borderId="0" xfId="9" applyFont="1" applyAlignment="1" applyProtection="1">
      <alignment horizontal="left" indent="1"/>
      <protection locked="0"/>
    </xf>
    <xf numFmtId="0" fontId="28" fillId="0" borderId="0" xfId="9" applyFont="1" applyProtection="1">
      <protection locked="0"/>
    </xf>
    <xf numFmtId="175" fontId="23" fillId="0" borderId="0" xfId="9" applyNumberFormat="1" applyFont="1" applyProtection="1">
      <protection locked="0"/>
    </xf>
    <xf numFmtId="178" fontId="26" fillId="0" borderId="109" xfId="9" applyNumberFormat="1" applyFont="1" applyBorder="1" applyProtection="1">
      <protection locked="0"/>
    </xf>
    <xf numFmtId="177" fontId="27" fillId="0" borderId="109" xfId="9" applyNumberFormat="1" applyFont="1" applyBorder="1" applyProtection="1">
      <protection locked="0"/>
    </xf>
    <xf numFmtId="0" fontId="23" fillId="3" borderId="110" xfId="9" applyFont="1" applyFill="1" applyBorder="1" applyProtection="1">
      <protection locked="0"/>
    </xf>
    <xf numFmtId="175" fontId="29" fillId="0" borderId="0" xfId="9" applyNumberFormat="1" applyFont="1" applyProtection="1">
      <protection locked="0"/>
    </xf>
    <xf numFmtId="0" fontId="21" fillId="0" borderId="0" xfId="9" applyProtection="1">
      <protection locked="0"/>
    </xf>
    <xf numFmtId="0" fontId="22" fillId="0" borderId="0" xfId="9" applyFont="1" applyAlignment="1" applyProtection="1">
      <alignment horizontal="left" indent="1"/>
      <protection locked="0"/>
    </xf>
    <xf numFmtId="180" fontId="26" fillId="0" borderId="103" xfId="9" applyNumberFormat="1" applyFont="1" applyBorder="1" applyProtection="1">
      <protection locked="0"/>
    </xf>
    <xf numFmtId="0" fontId="41" fillId="0" borderId="0" xfId="9" applyFont="1" applyProtection="1">
      <protection locked="0"/>
    </xf>
    <xf numFmtId="0" fontId="42" fillId="0" borderId="0" xfId="9" applyFont="1" applyProtection="1">
      <protection locked="0"/>
    </xf>
    <xf numFmtId="0" fontId="22" fillId="0" borderId="85" xfId="9" applyFont="1" applyBorder="1" applyAlignment="1" applyProtection="1">
      <alignment horizontal="left" indent="1"/>
      <protection locked="0"/>
    </xf>
    <xf numFmtId="0" fontId="23" fillId="0" borderId="86" xfId="9" applyFont="1" applyBorder="1" applyProtection="1">
      <protection locked="0"/>
    </xf>
    <xf numFmtId="0" fontId="28" fillId="0" borderId="87" xfId="9" applyFont="1" applyBorder="1" applyAlignment="1" applyProtection="1">
      <alignment horizontal="left" indent="1"/>
      <protection locked="0"/>
    </xf>
    <xf numFmtId="0" fontId="31" fillId="0" borderId="87" xfId="9" applyFont="1" applyBorder="1" applyAlignment="1" applyProtection="1">
      <alignment horizontal="left" indent="1"/>
      <protection locked="0"/>
    </xf>
    <xf numFmtId="0" fontId="31" fillId="0" borderId="0" xfId="9" applyFont="1" applyProtection="1">
      <protection locked="0"/>
    </xf>
    <xf numFmtId="0" fontId="31" fillId="0" borderId="89" xfId="9" applyFont="1" applyBorder="1" applyAlignment="1" applyProtection="1">
      <alignment horizontal="left" indent="1"/>
      <protection locked="0"/>
    </xf>
    <xf numFmtId="0" fontId="22" fillId="0" borderId="90" xfId="9" applyFont="1" applyBorder="1" applyProtection="1">
      <protection locked="0"/>
    </xf>
    <xf numFmtId="0" fontId="22" fillId="17" borderId="93" xfId="9" applyFont="1" applyFill="1" applyBorder="1" applyProtection="1">
      <protection locked="0"/>
    </xf>
    <xf numFmtId="0" fontId="23" fillId="17" borderId="94" xfId="9" applyFont="1" applyFill="1" applyBorder="1" applyProtection="1">
      <protection locked="0"/>
    </xf>
    <xf numFmtId="0" fontId="23" fillId="17" borderId="95" xfId="9" applyFont="1" applyFill="1" applyBorder="1" applyProtection="1">
      <protection locked="0"/>
    </xf>
    <xf numFmtId="0" fontId="23" fillId="0" borderId="96" xfId="9" applyFont="1" applyBorder="1" applyProtection="1">
      <protection locked="0"/>
    </xf>
    <xf numFmtId="0" fontId="23" fillId="0" borderId="97" xfId="9" applyFont="1" applyBorder="1" applyProtection="1">
      <protection locked="0"/>
    </xf>
    <xf numFmtId="179" fontId="26" fillId="12" borderId="0" xfId="9" applyNumberFormat="1" applyFont="1" applyFill="1" applyProtection="1">
      <protection locked="0"/>
    </xf>
    <xf numFmtId="179" fontId="26" fillId="12" borderId="97" xfId="9" applyNumberFormat="1" applyFont="1" applyFill="1" applyBorder="1" applyProtection="1">
      <protection locked="0"/>
    </xf>
    <xf numFmtId="0" fontId="23" fillId="0" borderId="96" xfId="9" applyFont="1" applyBorder="1" applyAlignment="1" applyProtection="1">
      <alignment horizontal="right"/>
      <protection locked="0"/>
    </xf>
    <xf numFmtId="165" fontId="26" fillId="12" borderId="0" xfId="9" applyNumberFormat="1" applyFont="1" applyFill="1" applyProtection="1">
      <protection locked="0"/>
    </xf>
    <xf numFmtId="165" fontId="26" fillId="3" borderId="0" xfId="9" applyNumberFormat="1" applyFont="1" applyFill="1" applyProtection="1">
      <protection locked="0"/>
    </xf>
    <xf numFmtId="0" fontId="23" fillId="0" borderId="98" xfId="9" applyFont="1" applyBorder="1" applyProtection="1">
      <protection locked="0"/>
    </xf>
    <xf numFmtId="165" fontId="26" fillId="12" borderId="99" xfId="9" applyNumberFormat="1" applyFont="1" applyFill="1" applyBorder="1" applyProtection="1">
      <protection locked="0"/>
    </xf>
    <xf numFmtId="179" fontId="23" fillId="0" borderId="0" xfId="9" applyNumberFormat="1" applyFont="1"/>
    <xf numFmtId="1" fontId="23" fillId="0" borderId="0" xfId="9" applyNumberFormat="1" applyFont="1"/>
    <xf numFmtId="2" fontId="23" fillId="0" borderId="0" xfId="9" applyNumberFormat="1" applyFont="1"/>
    <xf numFmtId="177" fontId="30" fillId="19" borderId="0" xfId="9" applyNumberFormat="1" applyFont="1" applyFill="1"/>
    <xf numFmtId="169" fontId="23" fillId="0" borderId="109" xfId="9" applyNumberFormat="1" applyFont="1" applyBorder="1"/>
    <xf numFmtId="169" fontId="27" fillId="0" borderId="109" xfId="9" applyNumberFormat="1" applyFont="1" applyBorder="1"/>
    <xf numFmtId="10" fontId="40" fillId="19" borderId="0" xfId="9" applyNumberFormat="1" applyFont="1" applyFill="1"/>
    <xf numFmtId="175" fontId="23" fillId="0" borderId="0" xfId="9" applyNumberFormat="1" applyFont="1"/>
    <xf numFmtId="179" fontId="30" fillId="19" borderId="0" xfId="9" applyNumberFormat="1" applyFont="1" applyFill="1"/>
    <xf numFmtId="2" fontId="22" fillId="19" borderId="0" xfId="9" applyNumberFormat="1" applyFont="1" applyFill="1"/>
    <xf numFmtId="179" fontId="32" fillId="3" borderId="111" xfId="0" applyNumberFormat="1" applyFont="1" applyFill="1" applyBorder="1"/>
    <xf numFmtId="179" fontId="29" fillId="0" borderId="113" xfId="9" applyNumberFormat="1" applyFont="1" applyBorder="1"/>
    <xf numFmtId="179" fontId="29" fillId="0" borderId="91" xfId="9" applyNumberFormat="1" applyFont="1" applyBorder="1"/>
    <xf numFmtId="179" fontId="29" fillId="0" borderId="89" xfId="9" applyNumberFormat="1" applyFont="1" applyBorder="1"/>
    <xf numFmtId="179" fontId="29" fillId="0" borderId="88" xfId="9" applyNumberFormat="1" applyFont="1" applyBorder="1"/>
    <xf numFmtId="179" fontId="27" fillId="0" borderId="92" xfId="9" applyNumberFormat="1" applyFont="1" applyBorder="1"/>
    <xf numFmtId="179" fontId="27" fillId="0" borderId="91" xfId="9" applyNumberFormat="1" applyFont="1" applyBorder="1"/>
    <xf numFmtId="179" fontId="27" fillId="0" borderId="88" xfId="9" applyNumberFormat="1" applyFont="1" applyBorder="1"/>
    <xf numFmtId="179" fontId="30" fillId="19" borderId="102" xfId="9" applyNumberFormat="1" applyFont="1" applyFill="1" applyBorder="1"/>
    <xf numFmtId="179" fontId="27" fillId="0" borderId="101" xfId="9" applyNumberFormat="1" applyFont="1" applyBorder="1"/>
    <xf numFmtId="2" fontId="22" fillId="20" borderId="84" xfId="9" applyNumberFormat="1" applyFont="1" applyFill="1" applyBorder="1"/>
    <xf numFmtId="2" fontId="22" fillId="20" borderId="68" xfId="9" applyNumberFormat="1" applyFont="1" applyFill="1" applyBorder="1"/>
    <xf numFmtId="2" fontId="22" fillId="20" borderId="83" xfId="9" applyNumberFormat="1" applyFont="1" applyFill="1" applyBorder="1"/>
    <xf numFmtId="167" fontId="22" fillId="20" borderId="91" xfId="9" applyNumberFormat="1" applyFont="1" applyFill="1" applyBorder="1"/>
    <xf numFmtId="167" fontId="22" fillId="0" borderId="67" xfId="9" applyNumberFormat="1" applyFont="1" applyBorder="1"/>
    <xf numFmtId="181" fontId="23" fillId="0" borderId="0" xfId="9" applyNumberFormat="1" applyFont="1"/>
    <xf numFmtId="181" fontId="23" fillId="0" borderId="97" xfId="9" applyNumberFormat="1" applyFont="1" applyBorder="1"/>
    <xf numFmtId="181" fontId="23" fillId="3" borderId="0" xfId="9" applyNumberFormat="1" applyFont="1" applyFill="1"/>
    <xf numFmtId="181" fontId="23" fillId="3" borderId="97" xfId="9" applyNumberFormat="1" applyFont="1" applyFill="1" applyBorder="1"/>
    <xf numFmtId="181" fontId="23" fillId="0" borderId="99" xfId="9" applyNumberFormat="1" applyFont="1" applyBorder="1"/>
    <xf numFmtId="181" fontId="23" fillId="0" borderId="100" xfId="9" applyNumberFormat="1" applyFont="1" applyBorder="1"/>
    <xf numFmtId="0" fontId="0" fillId="0" borderId="0" xfId="0" applyAlignment="1" applyProtection="1">
      <alignment wrapText="1"/>
      <protection locked="0"/>
    </xf>
    <xf numFmtId="0" fontId="44" fillId="13" borderId="0" xfId="0" applyFont="1" applyFill="1" applyProtection="1">
      <protection locked="0"/>
    </xf>
    <xf numFmtId="0" fontId="0" fillId="10" borderId="0" xfId="0" applyFill="1" applyProtection="1">
      <protection locked="0"/>
    </xf>
    <xf numFmtId="0" fontId="43" fillId="13" borderId="0" xfId="0" applyFont="1" applyFill="1" applyAlignment="1" applyProtection="1">
      <alignment horizontal="centerContinuous"/>
      <protection locked="0"/>
    </xf>
    <xf numFmtId="0" fontId="49" fillId="3" borderId="122" xfId="0" applyFont="1" applyFill="1" applyBorder="1" applyAlignment="1" applyProtection="1">
      <alignment horizontal="centerContinuous"/>
      <protection locked="0"/>
    </xf>
    <xf numFmtId="0" fontId="49" fillId="3" borderId="123" xfId="0" applyFont="1" applyFill="1" applyBorder="1" applyAlignment="1" applyProtection="1">
      <alignment horizontal="centerContinuous"/>
      <protection locked="0"/>
    </xf>
    <xf numFmtId="0" fontId="0" fillId="0" borderId="119" xfId="0" applyBorder="1" applyProtection="1">
      <protection locked="0"/>
    </xf>
    <xf numFmtId="0" fontId="0" fillId="0" borderId="120" xfId="0" applyBorder="1" applyProtection="1">
      <protection locked="0"/>
    </xf>
    <xf numFmtId="0" fontId="45" fillId="0" borderId="119" xfId="0" applyFont="1" applyBorder="1" applyAlignment="1" applyProtection="1">
      <alignment vertical="top"/>
      <protection locked="0"/>
    </xf>
    <xf numFmtId="0" fontId="45" fillId="0" borderId="120" xfId="0" applyFont="1" applyBorder="1" applyAlignment="1" applyProtection="1">
      <alignment vertical="top"/>
      <protection locked="0"/>
    </xf>
    <xf numFmtId="0" fontId="45" fillId="0" borderId="119" xfId="0" applyFont="1" applyBorder="1" applyProtection="1">
      <protection locked="0"/>
    </xf>
    <xf numFmtId="0" fontId="45" fillId="0" borderId="120" xfId="0" applyFont="1" applyBorder="1" applyProtection="1">
      <protection locked="0"/>
    </xf>
    <xf numFmtId="0" fontId="45" fillId="0" borderId="118" xfId="0" applyFont="1" applyBorder="1" applyProtection="1">
      <protection locked="0"/>
    </xf>
    <xf numFmtId="0" fontId="46" fillId="0" borderId="125" xfId="0" applyFont="1" applyBorder="1" applyAlignment="1" applyProtection="1">
      <alignment vertical="top" wrapText="1"/>
      <protection locked="0"/>
    </xf>
    <xf numFmtId="0" fontId="46" fillId="0" borderId="0" xfId="0" applyFont="1" applyAlignment="1" applyProtection="1">
      <alignment vertical="top" wrapText="1"/>
      <protection locked="0"/>
    </xf>
    <xf numFmtId="0" fontId="36" fillId="13" borderId="0" xfId="0" applyFont="1" applyFill="1"/>
    <xf numFmtId="0" fontId="47" fillId="10" borderId="0" xfId="0" applyFont="1" applyFill="1"/>
    <xf numFmtId="0" fontId="50" fillId="3" borderId="121" xfId="0" applyFont="1" applyFill="1" applyBorder="1" applyAlignment="1">
      <alignment horizontal="centerContinuous"/>
    </xf>
    <xf numFmtId="0" fontId="35" fillId="13" borderId="0" xfId="0" applyFont="1" applyFill="1" applyAlignment="1">
      <alignment horizontal="centerContinuous"/>
    </xf>
    <xf numFmtId="0" fontId="51" fillId="0" borderId="118" xfId="10" applyFont="1" applyBorder="1" applyAlignment="1" applyProtection="1">
      <alignment horizontal="left" vertical="center"/>
    </xf>
    <xf numFmtId="0" fontId="51" fillId="0" borderId="118" xfId="10" applyFont="1" applyBorder="1" applyAlignment="1" applyProtection="1">
      <alignment vertical="center"/>
    </xf>
    <xf numFmtId="0" fontId="51" fillId="0" borderId="117" xfId="10" applyFont="1" applyBorder="1" applyAlignment="1" applyProtection="1">
      <alignment vertical="center"/>
    </xf>
    <xf numFmtId="0" fontId="45" fillId="0" borderId="120" xfId="0" applyFont="1" applyBorder="1" applyAlignment="1">
      <alignment vertical="center" wrapText="1"/>
    </xf>
    <xf numFmtId="0" fontId="46" fillId="0" borderId="124" xfId="0" applyFont="1" applyBorder="1" applyAlignment="1">
      <alignment horizontal="left" vertical="top" wrapText="1"/>
    </xf>
    <xf numFmtId="0" fontId="46" fillId="0" borderId="125" xfId="0" applyFont="1" applyBorder="1" applyAlignment="1">
      <alignment horizontal="left" vertical="top" wrapText="1"/>
    </xf>
    <xf numFmtId="0" fontId="46" fillId="0" borderId="126" xfId="0" applyFont="1" applyBorder="1" applyAlignment="1">
      <alignment horizontal="left" vertical="top" wrapText="1"/>
    </xf>
    <xf numFmtId="0" fontId="46" fillId="0" borderId="127" xfId="0" applyFont="1" applyBorder="1" applyAlignment="1">
      <alignment horizontal="left" vertical="top" wrapText="1"/>
    </xf>
    <xf numFmtId="0" fontId="46" fillId="0" borderId="0" xfId="0" applyFont="1" applyAlignment="1">
      <alignment horizontal="left" vertical="top" wrapText="1"/>
    </xf>
    <xf numFmtId="0" fontId="46" fillId="0" borderId="128" xfId="0" applyFont="1" applyBorder="1" applyAlignment="1">
      <alignment horizontal="left" vertical="top" wrapText="1"/>
    </xf>
    <xf numFmtId="0" fontId="2" fillId="18" borderId="1" xfId="0" applyFont="1" applyFill="1" applyBorder="1" applyAlignment="1" applyProtection="1">
      <alignment horizontal="center"/>
      <protection locked="0"/>
    </xf>
    <xf numFmtId="0" fontId="2" fillId="18" borderId="0" xfId="0" applyFont="1" applyFill="1" applyAlignment="1" applyProtection="1">
      <alignment horizontal="center"/>
      <protection locked="0"/>
    </xf>
    <xf numFmtId="0" fontId="2" fillId="15" borderId="55" xfId="5" applyFont="1" applyFill="1" applyBorder="1" applyAlignment="1" applyProtection="1">
      <alignment horizontal="center"/>
      <protection locked="0"/>
    </xf>
    <xf numFmtId="0" fontId="2" fillId="15" borderId="56" xfId="5" applyFont="1" applyFill="1" applyBorder="1" applyAlignment="1" applyProtection="1">
      <alignment horizontal="center"/>
      <protection locked="0"/>
    </xf>
    <xf numFmtId="0" fontId="13" fillId="13" borderId="0" xfId="5" applyFont="1" applyFill="1" applyAlignment="1" applyProtection="1">
      <alignment horizontal="left"/>
      <protection locked="0"/>
    </xf>
    <xf numFmtId="0" fontId="2" fillId="7" borderId="17" xfId="5" applyFont="1" applyFill="1" applyBorder="1" applyAlignment="1" applyProtection="1">
      <alignment horizontal="center"/>
      <protection locked="0"/>
    </xf>
    <xf numFmtId="0" fontId="2" fillId="7" borderId="19" xfId="5" applyFont="1" applyFill="1" applyBorder="1" applyAlignment="1" applyProtection="1">
      <alignment horizontal="center"/>
      <protection locked="0"/>
    </xf>
    <xf numFmtId="0" fontId="2" fillId="7" borderId="20" xfId="5" applyFont="1" applyFill="1" applyBorder="1" applyAlignment="1" applyProtection="1">
      <alignment horizontal="center"/>
      <protection locked="0"/>
    </xf>
    <xf numFmtId="0" fontId="2" fillId="15" borderId="12" xfId="5" applyFont="1" applyFill="1" applyBorder="1" applyAlignment="1" applyProtection="1">
      <alignment horizontal="center"/>
      <protection locked="0"/>
    </xf>
    <xf numFmtId="0" fontId="2" fillId="15" borderId="13" xfId="5" applyFont="1" applyFill="1" applyBorder="1" applyAlignment="1" applyProtection="1">
      <alignment horizontal="center"/>
      <protection locked="0"/>
    </xf>
    <xf numFmtId="0" fontId="12" fillId="15" borderId="40" xfId="5" applyFont="1" applyFill="1" applyBorder="1" applyAlignment="1" applyProtection="1">
      <alignment horizontal="left"/>
      <protection locked="0"/>
    </xf>
    <xf numFmtId="0" fontId="12" fillId="15" borderId="0" xfId="5" applyFont="1" applyFill="1" applyAlignment="1" applyProtection="1">
      <alignment horizontal="left"/>
      <protection locked="0"/>
    </xf>
    <xf numFmtId="0" fontId="12" fillId="15" borderId="41" xfId="5" applyFont="1" applyFill="1" applyBorder="1" applyAlignment="1" applyProtection="1">
      <alignment horizontal="left"/>
      <protection locked="0"/>
    </xf>
    <xf numFmtId="0" fontId="36" fillId="13" borderId="0" xfId="0" applyFont="1" applyFill="1" applyAlignment="1" applyProtection="1">
      <alignment horizontal="left"/>
      <protection locked="0"/>
    </xf>
  </cellXfs>
  <cellStyles count="11">
    <cellStyle name="60% - Accent1 2" xfId="8" xr:uid="{BE1CC0B1-2352-489B-B74D-C84FEC735F4A}"/>
    <cellStyle name="60% - Accent3 2" xfId="7" xr:uid="{792EE490-8FF5-42B9-BD53-4B2635EEFC3E}"/>
    <cellStyle name="Accent6 2" xfId="4" xr:uid="{F5ED679A-4FED-4BC0-8D3C-4F7328ED4865}"/>
    <cellStyle name="Comma 2" xfId="2" xr:uid="{90246A8A-6B5F-4B80-BB71-226C893F7587}"/>
    <cellStyle name="Hyperlink" xfId="10" builtinId="8"/>
    <cellStyle name="Hyperlink 2" xfId="3" xr:uid="{8AC8D21B-AB35-4F9E-AC6E-A310325CE2D8}"/>
    <cellStyle name="Normal" xfId="0" builtinId="0"/>
    <cellStyle name="Normal 2" xfId="5" xr:uid="{9D8E4A03-8010-46C7-9BB9-A91EC2E19605}"/>
    <cellStyle name="Normal 3" xfId="9" xr:uid="{5B0681A8-36CD-4413-ABF6-B90934074BAC}"/>
    <cellStyle name="Percent" xfId="1" builtinId="5"/>
    <cellStyle name="Percent 2" xfId="6" xr:uid="{96262503-0D1C-4486-90E7-3FA0815DEB8E}"/>
  </cellStyles>
  <dxfs count="0"/>
  <tableStyles count="1" defaultTableStyle="TableStyleMedium2" defaultPivotStyle="PivotStyleLight16">
    <tableStyle name="Invisible" pivot="0" table="0" count="0" xr9:uid="{7FA98ECF-07E6-447E-AEBF-02E103A23793}"/>
  </tableStyles>
  <colors>
    <mruColors>
      <color rgb="FF1F4E78"/>
      <color rgb="FF0000FF"/>
      <color rgb="FF333333"/>
      <color rgb="FF1F3A5F"/>
      <color rgb="FFFFD966"/>
      <color rgb="FFFFEE99"/>
      <color rgb="FF7BC96F"/>
      <color rgb="FFFFC000"/>
      <color rgb="FF2ECC71"/>
      <color rgb="FFFFD6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sz="1200" b="1"/>
              <a:t>Ratio Swap Analysis: Implied Vs Agreed Vs Market</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267240378138572E-2"/>
          <c:y val="0.18134689922480621"/>
          <c:w val="0.88766191283611673"/>
          <c:h val="0.72563823780748338"/>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0582-4365-B788-58388DDF66A1}"/>
              </c:ext>
            </c:extLst>
          </c:dPt>
          <c:dPt>
            <c:idx val="1"/>
            <c:invertIfNegative val="0"/>
            <c:bubble3D val="0"/>
            <c:spPr>
              <a:solidFill>
                <a:schemeClr val="accent4">
                  <a:lumMod val="75000"/>
                </a:schemeClr>
              </a:solidFill>
              <a:ln>
                <a:noFill/>
              </a:ln>
              <a:effectLst/>
            </c:spPr>
            <c:extLst>
              <c:ext xmlns:c16="http://schemas.microsoft.com/office/drawing/2014/chart" uri="{C3380CC4-5D6E-409C-BE32-E72D297353CC}">
                <c16:uniqueId val="{00000002-0582-4365-B788-58388DDF66A1}"/>
              </c:ext>
            </c:extLst>
          </c:dPt>
          <c:dPt>
            <c:idx val="2"/>
            <c:invertIfNegative val="0"/>
            <c:bubble3D val="0"/>
            <c:spPr>
              <a:solidFill>
                <a:schemeClr val="accent1">
                  <a:lumMod val="50000"/>
                </a:schemeClr>
              </a:solidFill>
              <a:ln>
                <a:noFill/>
              </a:ln>
              <a:effectLst/>
            </c:spPr>
            <c:extLst>
              <c:ext xmlns:c16="http://schemas.microsoft.com/office/drawing/2014/chart" uri="{C3380CC4-5D6E-409C-BE32-E72D297353CC}">
                <c16:uniqueId val="{00000003-0582-4365-B788-58388DDF66A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'Share Swap &amp; Deal Terms'!$B$20:$B$22</c:f>
              <c:strCache>
                <c:ptCount val="3"/>
                <c:pt idx="0">
                  <c:v>Market Ratio</c:v>
                </c:pt>
                <c:pt idx="1">
                  <c:v>Agreed Ratio</c:v>
                </c:pt>
                <c:pt idx="2">
                  <c:v>Implied Ratio (DCF)</c:v>
                </c:pt>
              </c:strCache>
            </c:strRef>
          </c:cat>
          <c:val>
            <c:numRef>
              <c:f>'Share Swap &amp; Deal Terms'!$D$20:$D$22</c:f>
              <c:numCache>
                <c:formatCode>0.00"x"</c:formatCode>
                <c:ptCount val="3"/>
                <c:pt idx="0">
                  <c:v>1.6691729323308271</c:v>
                </c:pt>
                <c:pt idx="1">
                  <c:v>1.77</c:v>
                </c:pt>
                <c:pt idx="2">
                  <c:v>3.6344626629635459</c:v>
                </c:pt>
              </c:numCache>
            </c:numRef>
          </c:val>
          <c:extLst>
            <c:ext xmlns:c16="http://schemas.microsoft.com/office/drawing/2014/chart" uri="{C3380CC4-5D6E-409C-BE32-E72D297353CC}">
              <c16:uniqueId val="{00000000-0582-4365-B788-58388DDF66A1}"/>
            </c:ext>
          </c:extLst>
        </c:ser>
        <c:dLbls>
          <c:showLegendKey val="0"/>
          <c:showVal val="0"/>
          <c:showCatName val="0"/>
          <c:showSerName val="0"/>
          <c:showPercent val="0"/>
          <c:showBubbleSize val="0"/>
        </c:dLbls>
        <c:gapWidth val="45"/>
        <c:overlap val="-47"/>
        <c:axId val="2057925007"/>
        <c:axId val="2057914927"/>
      </c:barChart>
      <c:catAx>
        <c:axId val="2057925007"/>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057914927"/>
        <c:crosses val="autoZero"/>
        <c:auto val="1"/>
        <c:lblAlgn val="ctr"/>
        <c:lblOffset val="100"/>
        <c:noMultiLvlLbl val="0"/>
      </c:catAx>
      <c:valAx>
        <c:axId val="2057914927"/>
        <c:scaling>
          <c:orientation val="minMax"/>
        </c:scaling>
        <c:delete val="1"/>
        <c:axPos val="l"/>
        <c:numFmt formatCode="0.00&quot;x&quot;" sourceLinked="1"/>
        <c:majorTickMark val="none"/>
        <c:minorTickMark val="none"/>
        <c:tickLblPos val="nextTo"/>
        <c:crossAx val="20579250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IN" sz="1100" b="1"/>
              <a:t>Valuation Benchmark: Intrinsic Vs Market</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'Share Swap &amp; Deal Terms'!$C$24</c:f>
              <c:strCache>
                <c:ptCount val="1"/>
                <c:pt idx="0">
                  <c:v>DCF Value (Intrinsic)</c:v>
                </c:pt>
              </c:strCache>
            </c:strRef>
          </c:tx>
          <c:spPr>
            <a:solidFill>
              <a:schemeClr val="accent1">
                <a:lumMod val="50000"/>
              </a:schemeClr>
            </a:solidFill>
            <a:ln>
              <a:noFill/>
            </a:ln>
            <a:effectLst/>
          </c:spPr>
          <c:invertIfNegative val="0"/>
          <c:dPt>
            <c:idx val="1"/>
            <c:invertIfNegative val="0"/>
            <c:bubble3D val="0"/>
            <c:spPr>
              <a:solidFill>
                <a:schemeClr val="accent1">
                  <a:lumMod val="50000"/>
                </a:schemeClr>
              </a:solidFill>
              <a:ln>
                <a:noFill/>
              </a:ln>
              <a:effectLst/>
            </c:spPr>
            <c:extLst>
              <c:ext xmlns:c16="http://schemas.microsoft.com/office/drawing/2014/chart" uri="{C3380CC4-5D6E-409C-BE32-E72D297353CC}">
                <c16:uniqueId val="{00000003-270B-42F8-A5A4-EC389842ED88}"/>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'Share Swap &amp; Deal Terms'!$B$25:$B$26</c:f>
              <c:strCache>
                <c:ptCount val="2"/>
                <c:pt idx="0">
                  <c:v>Sapphire (SFIL)</c:v>
                </c:pt>
                <c:pt idx="1">
                  <c:v>Devyani (DIL)</c:v>
                </c:pt>
              </c:strCache>
            </c:strRef>
          </c:cat>
          <c:val>
            <c:numRef>
              <c:f>'Share Swap &amp; Deal Terms'!$C$25:$C$26</c:f>
              <c:numCache>
                <c:formatCode>\₹\ #,##0;\(\₹\ #,##0\)</c:formatCode>
                <c:ptCount val="2"/>
                <c:pt idx="0">
                  <c:v>54.940296215507132</c:v>
                </c:pt>
                <c:pt idx="1">
                  <c:v>15.116483868542135</c:v>
                </c:pt>
              </c:numCache>
            </c:numRef>
          </c:val>
          <c:extLst>
            <c:ext xmlns:c16="http://schemas.microsoft.com/office/drawing/2014/chart" uri="{C3380CC4-5D6E-409C-BE32-E72D297353CC}">
              <c16:uniqueId val="{00000000-270B-42F8-A5A4-EC389842ED88}"/>
            </c:ext>
          </c:extLst>
        </c:ser>
        <c:ser>
          <c:idx val="1"/>
          <c:order val="1"/>
          <c:tx>
            <c:strRef>
              <c:f>'Share Swap &amp; Deal Terms'!$D$24</c:f>
              <c:strCache>
                <c:ptCount val="1"/>
                <c:pt idx="0">
                  <c:v>Current Market Price</c:v>
                </c:pt>
              </c:strCache>
            </c:strRef>
          </c:tx>
          <c:spPr>
            <a:solidFill>
              <a:srgbClr val="FFC000"/>
            </a:solidFill>
            <a:ln>
              <a:noFill/>
            </a:ln>
            <a:effectLst/>
          </c:spPr>
          <c:invertIfNegative val="0"/>
          <c:dPt>
            <c:idx val="0"/>
            <c:invertIfNegative val="0"/>
            <c:bubble3D val="0"/>
            <c:spPr>
              <a:solidFill>
                <a:schemeClr val="accent4">
                  <a:lumMod val="75000"/>
                </a:schemeClr>
              </a:solidFill>
              <a:ln>
                <a:noFill/>
              </a:ln>
              <a:effectLst/>
            </c:spPr>
            <c:extLst>
              <c:ext xmlns:c16="http://schemas.microsoft.com/office/drawing/2014/chart" uri="{C3380CC4-5D6E-409C-BE32-E72D297353CC}">
                <c16:uniqueId val="{00000002-270B-42F8-A5A4-EC389842ED88}"/>
              </c:ext>
            </c:extLst>
          </c:dPt>
          <c:dPt>
            <c:idx val="1"/>
            <c:invertIfNegative val="0"/>
            <c:bubble3D val="0"/>
            <c:spPr>
              <a:solidFill>
                <a:schemeClr val="accent6">
                  <a:lumMod val="75000"/>
                </a:schemeClr>
              </a:solidFill>
              <a:ln>
                <a:noFill/>
              </a:ln>
              <a:effectLst/>
            </c:spPr>
            <c:extLst>
              <c:ext xmlns:c16="http://schemas.microsoft.com/office/drawing/2014/chart" uri="{C3380CC4-5D6E-409C-BE32-E72D297353CC}">
                <c16:uniqueId val="{00000004-270B-42F8-A5A4-EC389842ED88}"/>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'Share Swap &amp; Deal Terms'!$B$25:$B$26</c:f>
              <c:strCache>
                <c:ptCount val="2"/>
                <c:pt idx="0">
                  <c:v>Sapphire (SFIL)</c:v>
                </c:pt>
                <c:pt idx="1">
                  <c:v>Devyani (DIL)</c:v>
                </c:pt>
              </c:strCache>
            </c:strRef>
          </c:cat>
          <c:val>
            <c:numRef>
              <c:f>'Share Swap &amp; Deal Terms'!$D$25:$D$26</c:f>
              <c:numCache>
                <c:formatCode>\₹\ #,##0;\(\₹\ #,##0\)</c:formatCode>
                <c:ptCount val="2"/>
                <c:pt idx="0">
                  <c:v>222</c:v>
                </c:pt>
                <c:pt idx="1">
                  <c:v>133</c:v>
                </c:pt>
              </c:numCache>
            </c:numRef>
          </c:val>
          <c:extLst>
            <c:ext xmlns:c16="http://schemas.microsoft.com/office/drawing/2014/chart" uri="{C3380CC4-5D6E-409C-BE32-E72D297353CC}">
              <c16:uniqueId val="{00000001-270B-42F8-A5A4-EC389842ED88}"/>
            </c:ext>
          </c:extLst>
        </c:ser>
        <c:dLbls>
          <c:dLblPos val="outEnd"/>
          <c:showLegendKey val="0"/>
          <c:showVal val="1"/>
          <c:showCatName val="0"/>
          <c:showSerName val="0"/>
          <c:showPercent val="0"/>
          <c:showBubbleSize val="0"/>
        </c:dLbls>
        <c:gapWidth val="77"/>
        <c:axId val="769327503"/>
        <c:axId val="769323183"/>
      </c:barChart>
      <c:catAx>
        <c:axId val="76932750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769323183"/>
        <c:crosses val="autoZero"/>
        <c:auto val="1"/>
        <c:lblAlgn val="ctr"/>
        <c:lblOffset val="100"/>
        <c:noMultiLvlLbl val="0"/>
      </c:catAx>
      <c:valAx>
        <c:axId val="769323183"/>
        <c:scaling>
          <c:orientation val="minMax"/>
        </c:scaling>
        <c:delete val="1"/>
        <c:axPos val="l"/>
        <c:numFmt formatCode="\₹\ #,##0;\(\₹\ #,##0\)" sourceLinked="1"/>
        <c:majorTickMark val="none"/>
        <c:minorTickMark val="none"/>
        <c:tickLblPos val="nextTo"/>
        <c:crossAx val="76932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sng" strike="noStrike" kern="1200" spc="0" baseline="0">
                <a:solidFill>
                  <a:schemeClr val="tx1"/>
                </a:solidFill>
                <a:latin typeface="+mn-lt"/>
                <a:ea typeface="+mn-ea"/>
                <a:cs typeface="+mn-cs"/>
              </a:defRPr>
            </a:pPr>
            <a:r>
              <a:rPr lang="en-IN" sz="1050" b="1" i="0" u="sng" strike="noStrike" baseline="0">
                <a:solidFill>
                  <a:schemeClr val="tx1"/>
                </a:solidFill>
              </a:rPr>
              <a:t>Sapphire Foods (SFIL) Valuation Summary</a:t>
            </a:r>
            <a:endParaRPr lang="en-IN" sz="1050" b="1" u="sng">
              <a:solidFill>
                <a:schemeClr val="tx1"/>
              </a:solidFill>
            </a:endParaRPr>
          </a:p>
        </c:rich>
      </c:tx>
      <c:layout>
        <c:manualLayout>
          <c:xMode val="edge"/>
          <c:yMode val="edge"/>
          <c:x val="3.2439400613702152E-2"/>
          <c:y val="3.272030907994098E-2"/>
        </c:manualLayout>
      </c:layout>
      <c:overlay val="0"/>
      <c:spPr>
        <a:noFill/>
        <a:ln>
          <a:noFill/>
        </a:ln>
        <a:effectLst/>
      </c:spPr>
      <c:txPr>
        <a:bodyPr rot="0" spcFirstLastPara="1" vertOverflow="ellipsis" vert="horz" wrap="square" anchor="ctr" anchorCtr="1"/>
        <a:lstStyle/>
        <a:p>
          <a:pPr>
            <a:defRPr sz="1050" b="0" i="0" u="sng" strike="noStrike" kern="1200" spc="0" baseline="0">
              <a:solidFill>
                <a:schemeClr val="tx1"/>
              </a:solidFill>
              <a:latin typeface="+mn-lt"/>
              <a:ea typeface="+mn-ea"/>
              <a:cs typeface="+mn-cs"/>
            </a:defRPr>
          </a:pPr>
          <a:endParaRPr lang="en-IN"/>
        </a:p>
      </c:txPr>
    </c:title>
    <c:autoTitleDeleted val="0"/>
    <c:plotArea>
      <c:layout>
        <c:manualLayout>
          <c:layoutTarget val="inner"/>
          <c:xMode val="edge"/>
          <c:yMode val="edge"/>
          <c:x val="0.20281927009755035"/>
          <c:y val="0.15376499462689078"/>
          <c:w val="0.76993083246505578"/>
          <c:h val="0.79469890114106179"/>
        </c:manualLayout>
      </c:layout>
      <c:barChart>
        <c:barDir val="bar"/>
        <c:grouping val="stacked"/>
        <c:varyColors val="0"/>
        <c:ser>
          <c:idx val="0"/>
          <c:order val="0"/>
          <c:tx>
            <c:strRef>
              <c:f>'Valuation Summary'!$D$4</c:f>
              <c:strCache>
                <c:ptCount val="1"/>
                <c:pt idx="0">
                  <c:v>Low</c:v>
                </c:pt>
              </c:strCache>
            </c:strRef>
          </c:tx>
          <c:spPr>
            <a:noFill/>
            <a:ln>
              <a:noFill/>
            </a:ln>
            <a:effectLst/>
          </c:spPr>
          <c:invertIfNegative val="0"/>
          <c:cat>
            <c:strRef>
              <c:f>('Valuation Summary'!$B$5:$B$7,'Valuation Summary'!$B$9)</c:f>
              <c:strCache>
                <c:ptCount val="4"/>
                <c:pt idx="0">
                  <c:v>DCF (Intrinsic)</c:v>
                </c:pt>
                <c:pt idx="1">
                  <c:v>Trading Comps</c:v>
                </c:pt>
                <c:pt idx="2">
                  <c:v>52-Week Range</c:v>
                </c:pt>
                <c:pt idx="3">
                  <c:v>Offer Price </c:v>
                </c:pt>
              </c:strCache>
            </c:strRef>
          </c:cat>
          <c:val>
            <c:numRef>
              <c:f>'Valuation Summary'!$D$5:$D$7</c:f>
              <c:numCache>
                <c:formatCode>\₹\ #,##0_);\(#,##0\)</c:formatCode>
                <c:ptCount val="3"/>
                <c:pt idx="0">
                  <c:v>39.174715935669205</c:v>
                </c:pt>
                <c:pt idx="1">
                  <c:v>251.77975243025844</c:v>
                </c:pt>
                <c:pt idx="2">
                  <c:v>222</c:v>
                </c:pt>
              </c:numCache>
            </c:numRef>
          </c:val>
          <c:extLst>
            <c:ext xmlns:c16="http://schemas.microsoft.com/office/drawing/2014/chart" uri="{C3380CC4-5D6E-409C-BE32-E72D297353CC}">
              <c16:uniqueId val="{00000000-4D38-417C-83A2-1C490B92225A}"/>
            </c:ext>
          </c:extLst>
        </c:ser>
        <c:ser>
          <c:idx val="1"/>
          <c:order val="1"/>
          <c:tx>
            <c:strRef>
              <c:f>'Valuation Summary'!$E$4</c:f>
              <c:strCache>
                <c:ptCount val="1"/>
                <c:pt idx="0">
                  <c:v>Diff</c:v>
                </c:pt>
              </c:strCache>
            </c:strRef>
          </c:tx>
          <c:spPr>
            <a:solidFill>
              <a:schemeClr val="accent2"/>
            </a:solidFill>
            <a:ln>
              <a:noFill/>
            </a:ln>
            <a:effectLst/>
          </c:spPr>
          <c:invertIfNegative val="0"/>
          <c:dPt>
            <c:idx val="0"/>
            <c:invertIfNegative val="0"/>
            <c:bubble3D val="0"/>
            <c:spPr>
              <a:solidFill>
                <a:schemeClr val="accent6">
                  <a:lumMod val="75000"/>
                </a:schemeClr>
              </a:solidFill>
              <a:ln>
                <a:noFill/>
              </a:ln>
              <a:effectLst/>
            </c:spPr>
            <c:extLst>
              <c:ext xmlns:c16="http://schemas.microsoft.com/office/drawing/2014/chart" uri="{C3380CC4-5D6E-409C-BE32-E72D297353CC}">
                <c16:uniqueId val="{00000004-05AC-4F7A-A489-B08E280A97E3}"/>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05AC-4F7A-A489-B08E280A97E3}"/>
              </c:ext>
            </c:extLst>
          </c:dPt>
          <c:dPt>
            <c:idx val="2"/>
            <c:invertIfNegative val="0"/>
            <c:bubble3D val="0"/>
            <c:spPr>
              <a:solidFill>
                <a:schemeClr val="accent4">
                  <a:lumMod val="40000"/>
                  <a:lumOff val="60000"/>
                </a:schemeClr>
              </a:solidFill>
              <a:ln>
                <a:noFill/>
              </a:ln>
              <a:effectLst/>
            </c:spPr>
            <c:extLst>
              <c:ext xmlns:c16="http://schemas.microsoft.com/office/drawing/2014/chart" uri="{C3380CC4-5D6E-409C-BE32-E72D297353CC}">
                <c16:uniqueId val="{00000006-05AC-4F7A-A489-B08E280A97E3}"/>
              </c:ext>
            </c:extLst>
          </c:dPt>
          <c:cat>
            <c:strRef>
              <c:f>('Valuation Summary'!$B$5:$B$7,'Valuation Summary'!$B$9)</c:f>
              <c:strCache>
                <c:ptCount val="4"/>
                <c:pt idx="0">
                  <c:v>DCF (Intrinsic)</c:v>
                </c:pt>
                <c:pt idx="1">
                  <c:v>Trading Comps</c:v>
                </c:pt>
                <c:pt idx="2">
                  <c:v>52-Week Range</c:v>
                </c:pt>
                <c:pt idx="3">
                  <c:v>Offer Price </c:v>
                </c:pt>
              </c:strCache>
            </c:strRef>
          </c:cat>
          <c:val>
            <c:numRef>
              <c:f>'Valuation Summary'!$E$5:$E$7</c:f>
              <c:numCache>
                <c:formatCode>\₹\ #,##0_);\(#,##0\)</c:formatCode>
                <c:ptCount val="3"/>
                <c:pt idx="0">
                  <c:v>42.313140999636367</c:v>
                </c:pt>
                <c:pt idx="1">
                  <c:v>27.008819333800432</c:v>
                </c:pt>
                <c:pt idx="2">
                  <c:v>40</c:v>
                </c:pt>
              </c:numCache>
            </c:numRef>
          </c:val>
          <c:extLst>
            <c:ext xmlns:c16="http://schemas.microsoft.com/office/drawing/2014/chart" uri="{C3380CC4-5D6E-409C-BE32-E72D297353CC}">
              <c16:uniqueId val="{00000001-4D38-417C-83A2-1C490B92225A}"/>
            </c:ext>
          </c:extLst>
        </c:ser>
        <c:ser>
          <c:idx val="2"/>
          <c:order val="2"/>
          <c:tx>
            <c:strRef>
              <c:f>'Valuation Summary'!$F$4</c:f>
              <c:strCache>
                <c:ptCount val="1"/>
                <c:pt idx="0">
                  <c:v>Final Value</c:v>
                </c:pt>
              </c:strCache>
            </c:strRef>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('Valuation Summary'!$B$5:$B$7,'Valuation Summary'!$B$9)</c:f>
              <c:strCache>
                <c:ptCount val="4"/>
                <c:pt idx="0">
                  <c:v>DCF (Intrinsic)</c:v>
                </c:pt>
                <c:pt idx="1">
                  <c:v>Trading Comps</c:v>
                </c:pt>
                <c:pt idx="2">
                  <c:v>52-Week Range</c:v>
                </c:pt>
                <c:pt idx="3">
                  <c:v>Offer Price </c:v>
                </c:pt>
              </c:strCache>
            </c:strRef>
          </c:cat>
          <c:val>
            <c:numRef>
              <c:f>'Valuation Summary'!$F$5:$F$7</c:f>
              <c:numCache>
                <c:formatCode>\₹\ #,##0_);\(#,##0\)</c:formatCode>
                <c:ptCount val="3"/>
                <c:pt idx="0">
                  <c:v>54.943293704155742</c:v>
                </c:pt>
                <c:pt idx="1">
                  <c:v>265.28416209715863</c:v>
                </c:pt>
                <c:pt idx="2">
                  <c:v>242</c:v>
                </c:pt>
              </c:numCache>
            </c:numRef>
          </c:val>
          <c:extLst>
            <c:ext xmlns:c16="http://schemas.microsoft.com/office/drawing/2014/chart" uri="{C3380CC4-5D6E-409C-BE32-E72D297353CC}">
              <c16:uniqueId val="{00000002-4D38-417C-83A2-1C490B92225A}"/>
            </c:ext>
          </c:extLst>
        </c:ser>
        <c:ser>
          <c:idx val="3"/>
          <c:order val="3"/>
          <c:tx>
            <c:v>Offer Price</c:v>
          </c:tx>
          <c:spPr>
            <a:solidFill>
              <a:schemeClr val="accent4"/>
            </a:solidFill>
            <a:ln w="25400">
              <a:noFill/>
            </a:ln>
            <a:effectLst/>
          </c:spPr>
          <c:invertIfNegative val="0"/>
          <c:dPt>
            <c:idx val="1"/>
            <c:invertIfNegative val="0"/>
            <c:bubble3D val="0"/>
            <c:spPr>
              <a:noFill/>
              <a:ln w="25400">
                <a:noFill/>
              </a:ln>
              <a:effectLst/>
            </c:spPr>
            <c:extLst>
              <c:ext xmlns:c16="http://schemas.microsoft.com/office/drawing/2014/chart" uri="{C3380CC4-5D6E-409C-BE32-E72D297353CC}">
                <c16:uniqueId val="{0000000A-4D38-417C-83A2-1C490B92225A}"/>
              </c:ext>
            </c:extLst>
          </c:dPt>
          <c:dPt>
            <c:idx val="2"/>
            <c:invertIfNegative val="0"/>
            <c:bubble3D val="0"/>
            <c:spPr>
              <a:noFill/>
              <a:ln w="25400">
                <a:noFill/>
              </a:ln>
              <a:effectLst/>
            </c:spPr>
            <c:extLst>
              <c:ext xmlns:c16="http://schemas.microsoft.com/office/drawing/2014/chart" uri="{C3380CC4-5D6E-409C-BE32-E72D297353CC}">
                <c16:uniqueId val="{00000009-4D38-417C-83A2-1C490B92225A}"/>
              </c:ext>
            </c:extLst>
          </c:dPt>
          <c:dLbls>
            <c:dLbl>
              <c:idx val="3"/>
              <c:layout>
                <c:manualLayout>
                  <c:x val="0.15532444872050971"/>
                  <c:y val="-4.284752881685159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D38-417C-83A2-1C490B92225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('Valuation Summary'!$B$5:$B$7,'Valuation Summary'!$B$9)</c:f>
              <c:strCache>
                <c:ptCount val="4"/>
                <c:pt idx="0">
                  <c:v>DCF (Intrinsic)</c:v>
                </c:pt>
                <c:pt idx="1">
                  <c:v>Trading Comps</c:v>
                </c:pt>
                <c:pt idx="2">
                  <c:v>52-Week Range</c:v>
                </c:pt>
                <c:pt idx="3">
                  <c:v>Offer Price </c:v>
                </c:pt>
              </c:strCache>
            </c:strRef>
          </c:cat>
          <c:val>
            <c:numRef>
              <c:f>'Valuation Summary'!$B$9:$B$12</c:f>
              <c:numCache>
                <c:formatCode>\₹\ #,##0_);\(#,##0\)</c:formatCode>
                <c:ptCount val="4"/>
                <c:pt idx="0" formatCode="General">
                  <c:v>0</c:v>
                </c:pt>
                <c:pt idx="1">
                  <c:v>262</c:v>
                </c:pt>
                <c:pt idx="2">
                  <c:v>262</c:v>
                </c:pt>
                <c:pt idx="3">
                  <c:v>262</c:v>
                </c:pt>
              </c:numCache>
            </c:numRef>
          </c:val>
          <c:extLst>
            <c:ext xmlns:c16="http://schemas.microsoft.com/office/drawing/2014/chart" uri="{C3380CC4-5D6E-409C-BE32-E72D297353CC}">
              <c16:uniqueId val="{00000008-4D38-417C-83A2-1C490B92225A}"/>
            </c:ext>
          </c:extLst>
        </c:ser>
        <c:dLbls>
          <c:showLegendKey val="0"/>
          <c:showVal val="0"/>
          <c:showCatName val="0"/>
          <c:showSerName val="0"/>
          <c:showPercent val="0"/>
          <c:showBubbleSize val="0"/>
        </c:dLbls>
        <c:gapWidth val="47"/>
        <c:overlap val="100"/>
        <c:axId val="1275181407"/>
        <c:axId val="1275179487"/>
      </c:barChart>
      <c:catAx>
        <c:axId val="1275181407"/>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275179487"/>
        <c:crosses val="autoZero"/>
        <c:auto val="1"/>
        <c:lblAlgn val="ctr"/>
        <c:lblOffset val="100"/>
        <c:noMultiLvlLbl val="0"/>
      </c:catAx>
      <c:valAx>
        <c:axId val="1275179487"/>
        <c:scaling>
          <c:orientation val="minMax"/>
        </c:scaling>
        <c:delete val="1"/>
        <c:axPos val="b"/>
        <c:numFmt formatCode="\₹\ #,##0_);\(#,##0\)" sourceLinked="1"/>
        <c:majorTickMark val="out"/>
        <c:minorTickMark val="none"/>
        <c:tickLblPos val="nextTo"/>
        <c:crossAx val="12751814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14</xdr:col>
      <xdr:colOff>664722</xdr:colOff>
      <xdr:row>2</xdr:row>
      <xdr:rowOff>48638</xdr:rowOff>
    </xdr:from>
    <xdr:to>
      <xdr:col>16</xdr:col>
      <xdr:colOff>786316</xdr:colOff>
      <xdr:row>5</xdr:row>
      <xdr:rowOff>154021</xdr:rowOff>
    </xdr:to>
    <xdr:pic>
      <xdr:nvPicPr>
        <xdr:cNvPr id="4" name="Picture 3">
          <a:extLst>
            <a:ext uri="{FF2B5EF4-FFF2-40B4-BE49-F238E27FC236}">
              <a16:creationId xmlns:a16="http://schemas.microsoft.com/office/drawing/2014/main" id="{CD55FA28-3FCD-E9BC-1102-CA18F1AF8EA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76" t="34042" r="-6810" b="32341"/>
        <a:stretch>
          <a:fillRect/>
        </a:stretch>
      </xdr:blipFill>
      <xdr:spPr>
        <a:xfrm>
          <a:off x="12540573" y="535021"/>
          <a:ext cx="2059020" cy="6404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818745</xdr:colOff>
      <xdr:row>1</xdr:row>
      <xdr:rowOff>113489</xdr:rowOff>
    </xdr:from>
    <xdr:to>
      <xdr:col>16</xdr:col>
      <xdr:colOff>680936</xdr:colOff>
      <xdr:row>5</xdr:row>
      <xdr:rowOff>96517</xdr:rowOff>
    </xdr:to>
    <xdr:pic>
      <xdr:nvPicPr>
        <xdr:cNvPr id="4" name="Picture 3">
          <a:extLst>
            <a:ext uri="{FF2B5EF4-FFF2-40B4-BE49-F238E27FC236}">
              <a16:creationId xmlns:a16="http://schemas.microsoft.com/office/drawing/2014/main" id="{5AC6098A-98AC-65E7-BA88-8C370B1786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94596" y="299936"/>
          <a:ext cx="1799617" cy="817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121920</xdr:colOff>
      <xdr:row>3</xdr:row>
      <xdr:rowOff>0</xdr:rowOff>
    </xdr:from>
    <xdr:to>
      <xdr:col>13</xdr:col>
      <xdr:colOff>167640</xdr:colOff>
      <xdr:row>16</xdr:row>
      <xdr:rowOff>106680</xdr:rowOff>
    </xdr:to>
    <xdr:graphicFrame macro="">
      <xdr:nvGraphicFramePr>
        <xdr:cNvPr id="2" name="Chart 1">
          <a:extLst>
            <a:ext uri="{FF2B5EF4-FFF2-40B4-BE49-F238E27FC236}">
              <a16:creationId xmlns:a16="http://schemas.microsoft.com/office/drawing/2014/main" id="{D8DECBF9-23D2-F076-61A7-5CB2D51568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213360</xdr:colOff>
      <xdr:row>19</xdr:row>
      <xdr:rowOff>72390</xdr:rowOff>
    </xdr:from>
    <xdr:to>
      <xdr:col>12</xdr:col>
      <xdr:colOff>502920</xdr:colOff>
      <xdr:row>27</xdr:row>
      <xdr:rowOff>167640</xdr:rowOff>
    </xdr:to>
    <xdr:graphicFrame macro="">
      <xdr:nvGraphicFramePr>
        <xdr:cNvPr id="3" name="Chart 2">
          <a:extLst>
            <a:ext uri="{FF2B5EF4-FFF2-40B4-BE49-F238E27FC236}">
              <a16:creationId xmlns:a16="http://schemas.microsoft.com/office/drawing/2014/main" id="{CC9A1060-CCFE-E34E-34AC-277B86B041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158896</xdr:colOff>
      <xdr:row>2</xdr:row>
      <xdr:rowOff>62460</xdr:rowOff>
    </xdr:from>
    <xdr:to>
      <xdr:col>13</xdr:col>
      <xdr:colOff>534775</xdr:colOff>
      <xdr:row>17</xdr:row>
      <xdr:rowOff>62460</xdr:rowOff>
    </xdr:to>
    <xdr:graphicFrame macro="">
      <xdr:nvGraphicFramePr>
        <xdr:cNvPr id="5" name="Chart 4">
          <a:extLst>
            <a:ext uri="{FF2B5EF4-FFF2-40B4-BE49-F238E27FC236}">
              <a16:creationId xmlns:a16="http://schemas.microsoft.com/office/drawing/2014/main" id="{28E14CA8-1FE2-ABF8-CDB7-11FC4839F7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nvay\Downloads\DCF%20Model%20-%20Cipla.xlsx" TargetMode="External"/><Relationship Id="rId1" Type="http://schemas.openxmlformats.org/officeDocument/2006/relationships/externalLinkPath" Target="DCF%20Model%20-%20Cipl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ofit &amp; Loss"/>
      <sheetName val="Balance Sheet"/>
      <sheetName val="Cash Flow"/>
      <sheetName val="Data Sheet"/>
      <sheetName val="DCF"/>
      <sheetName val="Overview"/>
    </sheetNames>
    <sheetDataSet>
      <sheetData sheetId="0">
        <row r="4">
          <cell r="G4">
            <v>19159.59</v>
          </cell>
        </row>
      </sheetData>
      <sheetData sheetId="1"/>
      <sheetData sheetId="2"/>
      <sheetData sheetId="3">
        <row r="1">
          <cell r="E1" t="str">
            <v/>
          </cell>
        </row>
      </sheetData>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A3CEF-1425-4117-B090-EEC01AF6C69E}">
  <dimension ref="A2:K12"/>
  <sheetViews>
    <sheetView showGridLines="0" tabSelected="1" zoomScale="93" workbookViewId="0">
      <selection activeCell="G6" sqref="G6:K10"/>
    </sheetView>
  </sheetViews>
  <sheetFormatPr defaultRowHeight="14.4" x14ac:dyDescent="0.3"/>
  <cols>
    <col min="1" max="1" width="2.33203125" style="361" customWidth="1"/>
    <col min="2" max="2" width="8.88671875" style="1"/>
    <col min="3" max="3" width="7.5546875" style="1" customWidth="1"/>
    <col min="4" max="4" width="12.33203125" style="1" customWidth="1"/>
    <col min="5" max="5" width="58.109375" style="1" customWidth="1"/>
    <col min="6" max="16384" width="8.88671875" style="1"/>
  </cols>
  <sheetData>
    <row r="2" spans="2:11" ht="25.8" x14ac:dyDescent="0.5">
      <c r="B2" s="376" t="s">
        <v>195</v>
      </c>
      <c r="C2" s="362"/>
      <c r="D2" s="362"/>
      <c r="E2" s="362"/>
      <c r="F2" s="362"/>
      <c r="G2" s="362"/>
      <c r="H2" s="362"/>
      <c r="I2" s="362"/>
      <c r="J2" s="362"/>
      <c r="K2" s="362"/>
    </row>
    <row r="3" spans="2:11" ht="18" x14ac:dyDescent="0.35">
      <c r="B3" s="377" t="s">
        <v>196</v>
      </c>
      <c r="C3" s="363"/>
      <c r="D3" s="363"/>
      <c r="E3" s="363"/>
      <c r="F3" s="363"/>
      <c r="G3" s="363"/>
      <c r="H3" s="363"/>
      <c r="I3" s="363"/>
      <c r="J3" s="363"/>
      <c r="K3" s="363"/>
    </row>
    <row r="4" spans="2:11" ht="15" thickBot="1" x14ac:dyDescent="0.35"/>
    <row r="5" spans="2:11" ht="21.6" thickBot="1" x14ac:dyDescent="0.45">
      <c r="B5" s="379" t="s">
        <v>197</v>
      </c>
      <c r="C5" s="364"/>
      <c r="D5" s="364"/>
      <c r="E5" s="364"/>
      <c r="G5" s="378" t="s">
        <v>204</v>
      </c>
      <c r="H5" s="365"/>
      <c r="I5" s="365"/>
      <c r="J5" s="365"/>
      <c r="K5" s="366"/>
    </row>
    <row r="6" spans="2:11" ht="53.4" customHeight="1" x14ac:dyDescent="0.3">
      <c r="B6" s="380" t="s">
        <v>198</v>
      </c>
      <c r="C6" s="367"/>
      <c r="D6" s="368"/>
      <c r="E6" s="383" t="s">
        <v>208</v>
      </c>
      <c r="G6" s="384" t="s">
        <v>205</v>
      </c>
      <c r="H6" s="385"/>
      <c r="I6" s="385"/>
      <c r="J6" s="385"/>
      <c r="K6" s="386"/>
    </row>
    <row r="7" spans="2:11" ht="39.6" customHeight="1" x14ac:dyDescent="0.3">
      <c r="B7" s="381" t="s">
        <v>199</v>
      </c>
      <c r="C7" s="369"/>
      <c r="D7" s="370"/>
      <c r="E7" s="383" t="s">
        <v>206</v>
      </c>
      <c r="G7" s="387"/>
      <c r="H7" s="388"/>
      <c r="I7" s="388"/>
      <c r="J7" s="388"/>
      <c r="K7" s="389"/>
    </row>
    <row r="8" spans="2:11" ht="37.200000000000003" customHeight="1" x14ac:dyDescent="0.3">
      <c r="B8" s="381" t="s">
        <v>200</v>
      </c>
      <c r="C8" s="369"/>
      <c r="D8" s="370"/>
      <c r="E8" s="383" t="s">
        <v>210</v>
      </c>
      <c r="G8" s="387"/>
      <c r="H8" s="388"/>
      <c r="I8" s="388"/>
      <c r="J8" s="388"/>
      <c r="K8" s="389"/>
    </row>
    <row r="9" spans="2:11" ht="34.799999999999997" customHeight="1" x14ac:dyDescent="0.3">
      <c r="B9" s="381" t="s">
        <v>201</v>
      </c>
      <c r="C9" s="371"/>
      <c r="D9" s="372"/>
      <c r="E9" s="383" t="s">
        <v>209</v>
      </c>
      <c r="G9" s="387"/>
      <c r="H9" s="388"/>
      <c r="I9" s="388"/>
      <c r="J9" s="388"/>
      <c r="K9" s="389"/>
    </row>
    <row r="10" spans="2:11" ht="36" customHeight="1" thickBot="1" x14ac:dyDescent="0.35">
      <c r="B10" s="381" t="s">
        <v>202</v>
      </c>
      <c r="C10" s="371"/>
      <c r="D10" s="372"/>
      <c r="E10" s="383" t="s">
        <v>211</v>
      </c>
      <c r="G10" s="387"/>
      <c r="H10" s="388"/>
      <c r="I10" s="388"/>
      <c r="J10" s="388"/>
      <c r="K10" s="389"/>
    </row>
    <row r="11" spans="2:11" ht="37.200000000000003" customHeight="1" x14ac:dyDescent="0.3">
      <c r="B11" s="382" t="s">
        <v>203</v>
      </c>
      <c r="C11" s="373"/>
      <c r="D11" s="372"/>
      <c r="E11" s="383" t="s">
        <v>207</v>
      </c>
      <c r="G11" s="374"/>
      <c r="H11" s="374"/>
      <c r="I11" s="374"/>
      <c r="J11" s="374"/>
      <c r="K11" s="374"/>
    </row>
    <row r="12" spans="2:11" ht="15" customHeight="1" x14ac:dyDescent="0.3">
      <c r="G12" s="375"/>
      <c r="H12" s="375"/>
      <c r="I12" s="375"/>
      <c r="J12" s="375"/>
      <c r="K12" s="375"/>
    </row>
  </sheetData>
  <sheetProtection algorithmName="SHA-512" hashValue="EHOcSqmMld1/v6T/sjoJZeZqOfZP2O/G6TuOgWRZ8jueZgcAB42VXKNnehs8LzUDaagif3tOhMgFjFdA2ALlYw==" saltValue="AN3cwMdAVjHW0qTGHBxrCg==" spinCount="100000" sheet="1" objects="1" scenarios="1"/>
  <mergeCells count="1">
    <mergeCell ref="G6:K10"/>
  </mergeCells>
  <hyperlinks>
    <hyperlink ref="B6" location="'Relative Valuation'!B2" display="1. Relative Valuation" xr:uid="{D2B44452-1346-4D8D-82FA-B5D53BC38E85}"/>
    <hyperlink ref="B7" location="'DCF (Sapphire)'!B2" display="2. DCF (Sapphire)" xr:uid="{31FDD159-79F8-42D4-BC51-368763BB20C1}"/>
    <hyperlink ref="B8" location="'DCF (Devyani)'!B2" display="3. DCF (Devyani)" xr:uid="{3427D266-E5A8-4461-8DAB-F185F1892355}"/>
    <hyperlink ref="B9" location="'Share Swap &amp; Deal Terms'!B2" display="4. Share Swap &amp; Deal Terms" xr:uid="{0C83CF6A-A4CE-4367-AD91-86521521059B}"/>
    <hyperlink ref="B10" location="'Accretion &amp; Dilution'!B2" display="5. Accretion / Dilution" xr:uid="{867D55BE-D109-462C-A2DB-AE578D718252}"/>
    <hyperlink ref="B11" location="'Valuation Summary'!B2" display="6. Strategic Rational" xr:uid="{8BF127AA-1B1E-484E-BA2C-AA6AB39A6AA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BFF0B-EB73-45FF-9CA2-1DA60BB5640F}">
  <dimension ref="B2:T40"/>
  <sheetViews>
    <sheetView showGridLines="0" zoomScale="109" zoomScaleNormal="100" zoomScaleSheetLayoutView="89" workbookViewId="0">
      <selection activeCell="F10" sqref="F10"/>
    </sheetView>
  </sheetViews>
  <sheetFormatPr defaultRowHeight="14.4" x14ac:dyDescent="0.3"/>
  <cols>
    <col min="1" max="1" width="2.33203125" style="1" customWidth="1"/>
    <col min="2" max="2" width="23.77734375" style="1" customWidth="1"/>
    <col min="3" max="3" width="13.44140625" style="1" customWidth="1"/>
    <col min="4" max="4" width="8.88671875" style="1"/>
    <col min="5" max="5" width="12.6640625" style="1" customWidth="1"/>
    <col min="6" max="7" width="8.88671875" style="1"/>
    <col min="8" max="8" width="10.109375" style="1" customWidth="1"/>
    <col min="9" max="10" width="8.88671875" style="1"/>
    <col min="11" max="11" width="7.109375" style="1" bestFit="1" customWidth="1"/>
    <col min="12" max="12" width="10.77734375" style="1" bestFit="1" customWidth="1"/>
    <col min="13" max="13" width="8.88671875" style="1"/>
    <col min="14" max="14" width="13.5546875" style="1" customWidth="1"/>
    <col min="15" max="15" width="10.21875" style="1" bestFit="1" customWidth="1"/>
    <col min="16" max="16" width="0.88671875" style="1" customWidth="1"/>
    <col min="17" max="16384" width="8.88671875" style="1"/>
  </cols>
  <sheetData>
    <row r="2" spans="2:20" ht="18" x14ac:dyDescent="0.35">
      <c r="B2" s="165" t="s">
        <v>194</v>
      </c>
      <c r="C2" s="166"/>
      <c r="D2" s="166"/>
      <c r="E2" s="166"/>
      <c r="F2" s="166"/>
      <c r="G2" s="166"/>
      <c r="H2" s="166"/>
      <c r="I2" s="166"/>
      <c r="J2" s="166"/>
      <c r="K2" s="166"/>
      <c r="L2" s="166"/>
      <c r="M2" s="166"/>
      <c r="N2" s="166"/>
      <c r="O2" s="166"/>
      <c r="P2" s="166"/>
    </row>
    <row r="3" spans="2:20" x14ac:dyDescent="0.3">
      <c r="B3" s="14" t="s">
        <v>58</v>
      </c>
    </row>
    <row r="4" spans="2:20" x14ac:dyDescent="0.3">
      <c r="B4" s="121"/>
      <c r="C4" s="121"/>
      <c r="D4" s="121"/>
      <c r="E4" s="121"/>
      <c r="F4" s="121"/>
      <c r="G4" s="121"/>
      <c r="H4" s="121"/>
      <c r="I4" s="121"/>
      <c r="J4" s="121"/>
      <c r="K4" s="121"/>
      <c r="L4" s="121"/>
      <c r="M4" s="122"/>
      <c r="N4" s="122"/>
      <c r="O4" s="122"/>
      <c r="P4" s="122"/>
    </row>
    <row r="5" spans="2:20" ht="15" thickBot="1" x14ac:dyDescent="0.35">
      <c r="B5" s="122"/>
      <c r="C5" s="122"/>
      <c r="D5" s="390" t="s">
        <v>186</v>
      </c>
      <c r="E5" s="390"/>
      <c r="F5" s="390"/>
      <c r="G5" s="390"/>
      <c r="H5" s="390"/>
      <c r="I5" s="121"/>
      <c r="J5" s="391" t="s">
        <v>0</v>
      </c>
      <c r="K5" s="391"/>
      <c r="L5" s="391"/>
      <c r="M5" s="122"/>
      <c r="N5" s="391" t="s">
        <v>1</v>
      </c>
      <c r="O5" s="391"/>
      <c r="P5" s="122"/>
    </row>
    <row r="6" spans="2:20" ht="43.2" x14ac:dyDescent="0.3">
      <c r="B6" s="121" t="s">
        <v>2</v>
      </c>
      <c r="C6" s="121"/>
      <c r="D6" s="123" t="s">
        <v>3</v>
      </c>
      <c r="E6" s="124" t="s">
        <v>4</v>
      </c>
      <c r="F6" s="124" t="s">
        <v>5</v>
      </c>
      <c r="G6" s="125" t="s">
        <v>6</v>
      </c>
      <c r="H6" s="126" t="s">
        <v>7</v>
      </c>
      <c r="I6" s="127"/>
      <c r="J6" s="128" t="s">
        <v>8</v>
      </c>
      <c r="K6" s="125" t="s">
        <v>9</v>
      </c>
      <c r="L6" s="129" t="s">
        <v>10</v>
      </c>
      <c r="M6" s="130"/>
      <c r="N6" s="128" t="s">
        <v>11</v>
      </c>
      <c r="O6" s="129" t="s">
        <v>12</v>
      </c>
      <c r="P6" s="122"/>
    </row>
    <row r="7" spans="2:20" ht="4.95" customHeight="1" x14ac:dyDescent="0.3"/>
    <row r="8" spans="2:20" x14ac:dyDescent="0.3">
      <c r="B8" s="1" t="s">
        <v>24</v>
      </c>
      <c r="D8" s="157">
        <v>221.35</v>
      </c>
      <c r="E8" s="158">
        <v>32.14</v>
      </c>
      <c r="F8" s="182">
        <f>D8*E8</f>
        <v>7114.1890000000003</v>
      </c>
      <c r="G8" s="158">
        <v>1301.46</v>
      </c>
      <c r="H8" s="184">
        <f>F8+G8</f>
        <v>8415.6490000000013</v>
      </c>
      <c r="I8" s="3"/>
      <c r="J8" s="157">
        <v>2987</v>
      </c>
      <c r="K8" s="158">
        <v>455</v>
      </c>
      <c r="L8" s="161">
        <v>0</v>
      </c>
      <c r="N8" s="4">
        <f>$H8/J8</f>
        <v>2.8174251757616342</v>
      </c>
      <c r="O8" s="131">
        <f>$H8/K8</f>
        <v>18.495931868131869</v>
      </c>
      <c r="Q8" s="167"/>
      <c r="R8" s="167"/>
      <c r="S8" s="167"/>
      <c r="T8" s="167"/>
    </row>
    <row r="9" spans="2:20" x14ac:dyDescent="0.3">
      <c r="B9" s="1" t="s">
        <v>23</v>
      </c>
      <c r="C9" s="7"/>
      <c r="D9" s="159">
        <v>136.62</v>
      </c>
      <c r="E9" s="160">
        <v>123.29</v>
      </c>
      <c r="F9" s="182">
        <f>D9*E9</f>
        <v>16843.879800000002</v>
      </c>
      <c r="G9" s="160">
        <v>3161.96</v>
      </c>
      <c r="H9" s="185">
        <f>F9+G9</f>
        <v>20005.839800000002</v>
      </c>
      <c r="I9" s="8"/>
      <c r="J9" s="159">
        <v>5241</v>
      </c>
      <c r="K9" s="158">
        <v>797</v>
      </c>
      <c r="L9" s="161">
        <v>-47</v>
      </c>
      <c r="M9" s="7"/>
      <c r="N9" s="4">
        <f>$H9/J9</f>
        <v>3.8171798893340969</v>
      </c>
      <c r="O9" s="131">
        <f>$H9/K9</f>
        <v>25.101430112923467</v>
      </c>
    </row>
    <row r="10" spans="2:20" x14ac:dyDescent="0.3">
      <c r="B10" s="1" t="s">
        <v>25</v>
      </c>
      <c r="D10" s="157">
        <v>66.12</v>
      </c>
      <c r="E10" s="158">
        <v>58.27</v>
      </c>
      <c r="F10" s="182">
        <f>D10*E10</f>
        <v>3852.8124000000003</v>
      </c>
      <c r="G10" s="158">
        <v>1252.42</v>
      </c>
      <c r="H10" s="184">
        <f>G10+F10</f>
        <v>5105.2324000000008</v>
      </c>
      <c r="I10" s="3"/>
      <c r="J10" s="159">
        <v>2673</v>
      </c>
      <c r="K10" s="158">
        <v>287</v>
      </c>
      <c r="L10" s="161">
        <v>-223</v>
      </c>
      <c r="N10" s="4">
        <f t="shared" ref="N10:N11" si="0">$H10/J10</f>
        <v>1.9099260755705203</v>
      </c>
      <c r="O10" s="131">
        <f t="shared" ref="O10:O11" si="1">$H10/K10</f>
        <v>17.788266202090593</v>
      </c>
      <c r="Q10" s="167"/>
      <c r="R10" s="167"/>
      <c r="S10" s="167"/>
      <c r="T10" s="167"/>
    </row>
    <row r="11" spans="2:20" x14ac:dyDescent="0.3">
      <c r="B11" s="1" t="s">
        <v>26</v>
      </c>
      <c r="D11" s="157">
        <v>524.1</v>
      </c>
      <c r="E11" s="158">
        <v>15.59</v>
      </c>
      <c r="F11" s="182">
        <f>D11*E11</f>
        <v>8170.7190000000001</v>
      </c>
      <c r="G11" s="158">
        <v>1603.27</v>
      </c>
      <c r="H11" s="184">
        <f>F11+G11</f>
        <v>9773.9889999999996</v>
      </c>
      <c r="I11" s="3"/>
      <c r="J11" s="157">
        <v>2557</v>
      </c>
      <c r="K11" s="158">
        <v>317</v>
      </c>
      <c r="L11" s="161">
        <v>38</v>
      </c>
      <c r="N11" s="4">
        <f t="shared" si="0"/>
        <v>3.8224438795463431</v>
      </c>
      <c r="O11" s="131">
        <f t="shared" si="1"/>
        <v>30.83277287066246</v>
      </c>
      <c r="Q11" s="167"/>
    </row>
    <row r="12" spans="2:20" x14ac:dyDescent="0.3">
      <c r="B12" s="1" t="s">
        <v>27</v>
      </c>
      <c r="D12" s="157">
        <v>525.95000000000005</v>
      </c>
      <c r="E12" s="158">
        <v>65.98</v>
      </c>
      <c r="F12" s="183">
        <f>D12*E12</f>
        <v>34702.181000000004</v>
      </c>
      <c r="G12" s="158">
        <v>4409.4000000000005</v>
      </c>
      <c r="H12" s="184">
        <f>F12+G12</f>
        <v>39111.581000000006</v>
      </c>
      <c r="I12" s="3"/>
      <c r="J12" s="157">
        <v>8855</v>
      </c>
      <c r="K12" s="158">
        <v>1705</v>
      </c>
      <c r="L12" s="161">
        <v>381</v>
      </c>
      <c r="N12" s="4">
        <f>$H12/J12</f>
        <v>4.4168922642574824</v>
      </c>
      <c r="O12" s="131">
        <f>$H12/K12</f>
        <v>22.939343695014667</v>
      </c>
    </row>
    <row r="14" spans="2:20" x14ac:dyDescent="0.3">
      <c r="B14" s="77" t="s">
        <v>13</v>
      </c>
      <c r="C14" s="77"/>
      <c r="D14" s="77"/>
      <c r="E14" s="77"/>
      <c r="F14" s="77"/>
      <c r="G14" s="77"/>
      <c r="H14" s="77"/>
      <c r="I14" s="77"/>
      <c r="J14" s="77"/>
      <c r="K14" s="77"/>
      <c r="L14" s="77"/>
      <c r="M14" s="77"/>
      <c r="N14" s="186">
        <f>MAX(N8:N12)</f>
        <v>4.4168922642574824</v>
      </c>
      <c r="O14" s="186">
        <f>MAX(O8:O12)</f>
        <v>30.83277287066246</v>
      </c>
      <c r="P14" s="168"/>
      <c r="Q14" s="167"/>
    </row>
    <row r="15" spans="2:20" x14ac:dyDescent="0.3">
      <c r="B15" s="77" t="s">
        <v>14</v>
      </c>
      <c r="C15" s="77"/>
      <c r="D15" s="77"/>
      <c r="E15" s="77"/>
      <c r="F15" s="77"/>
      <c r="G15" s="77"/>
      <c r="H15" s="77"/>
      <c r="I15" s="77"/>
      <c r="J15" s="77"/>
      <c r="K15" s="77"/>
      <c r="L15" s="77"/>
      <c r="M15" s="77"/>
      <c r="N15" s="186">
        <f>QUARTILE(N8:N12,3)</f>
        <v>3.8224438795463431</v>
      </c>
      <c r="O15" s="186">
        <f>QUARTILE(O8:O12,3)</f>
        <v>25.101430112923467</v>
      </c>
      <c r="P15" s="168"/>
    </row>
    <row r="16" spans="2:20" x14ac:dyDescent="0.3">
      <c r="B16" s="78" t="s">
        <v>15</v>
      </c>
      <c r="C16" s="78"/>
      <c r="D16" s="78"/>
      <c r="E16" s="78"/>
      <c r="F16" s="78"/>
      <c r="G16" s="78"/>
      <c r="H16" s="78"/>
      <c r="I16" s="78"/>
      <c r="J16" s="78"/>
      <c r="K16" s="78"/>
      <c r="L16" s="78"/>
      <c r="M16" s="78"/>
      <c r="N16" s="187">
        <f>AVERAGE(N8:N12)</f>
        <v>3.3567734568940155</v>
      </c>
      <c r="O16" s="187">
        <f>AVERAGE(O8:O12)</f>
        <v>23.031548949764609</v>
      </c>
      <c r="P16" s="168"/>
    </row>
    <row r="17" spans="2:16" x14ac:dyDescent="0.3">
      <c r="B17" s="78" t="s">
        <v>16</v>
      </c>
      <c r="C17" s="78"/>
      <c r="D17" s="78"/>
      <c r="E17" s="78"/>
      <c r="F17" s="78"/>
      <c r="G17" s="78"/>
      <c r="H17" s="78"/>
      <c r="I17" s="78"/>
      <c r="J17" s="78"/>
      <c r="K17" s="78"/>
      <c r="L17" s="78"/>
      <c r="M17" s="78"/>
      <c r="N17" s="187">
        <f>MEDIAN(N8:N12)</f>
        <v>3.8171798893340969</v>
      </c>
      <c r="O17" s="187">
        <f>MEDIAN(O8:O12)</f>
        <v>22.939343695014667</v>
      </c>
      <c r="P17" s="168"/>
    </row>
    <row r="18" spans="2:16" x14ac:dyDescent="0.3">
      <c r="B18" s="77" t="s">
        <v>17</v>
      </c>
      <c r="C18" s="77"/>
      <c r="D18" s="77"/>
      <c r="E18" s="77"/>
      <c r="F18" s="77"/>
      <c r="G18" s="77"/>
      <c r="H18" s="77"/>
      <c r="I18" s="77"/>
      <c r="J18" s="77"/>
      <c r="K18" s="77"/>
      <c r="L18" s="77"/>
      <c r="M18" s="77"/>
      <c r="N18" s="186">
        <f>QUARTILE(N8:N12,1)</f>
        <v>2.8174251757616342</v>
      </c>
      <c r="O18" s="186">
        <f>QUARTILE(O8:O12,1)</f>
        <v>18.495931868131869</v>
      </c>
      <c r="P18" s="168"/>
    </row>
    <row r="19" spans="2:16" x14ac:dyDescent="0.3">
      <c r="B19" s="77" t="s">
        <v>18</v>
      </c>
      <c r="C19" s="77"/>
      <c r="D19" s="77"/>
      <c r="E19" s="77"/>
      <c r="F19" s="77"/>
      <c r="G19" s="77"/>
      <c r="H19" s="77"/>
      <c r="I19" s="77"/>
      <c r="J19" s="77"/>
      <c r="K19" s="77"/>
      <c r="L19" s="77"/>
      <c r="M19" s="77"/>
      <c r="N19" s="186">
        <f>MIN(N8:N12)</f>
        <v>1.9099260755705203</v>
      </c>
      <c r="O19" s="186">
        <f>MIN(O8:O12)</f>
        <v>17.788266202090593</v>
      </c>
      <c r="P19" s="168"/>
    </row>
    <row r="21" spans="2:16" x14ac:dyDescent="0.3">
      <c r="B21" s="81" t="s">
        <v>28</v>
      </c>
      <c r="C21" s="81"/>
      <c r="D21" s="81"/>
      <c r="E21" s="81"/>
      <c r="F21" s="81"/>
      <c r="G21" s="81"/>
      <c r="H21" s="81"/>
      <c r="I21" s="81"/>
      <c r="J21" s="81"/>
      <c r="K21" s="81"/>
      <c r="L21" s="81"/>
      <c r="M21" s="81"/>
      <c r="N21" s="83" t="s">
        <v>11</v>
      </c>
      <c r="O21" s="83" t="s">
        <v>12</v>
      </c>
      <c r="P21" s="83"/>
    </row>
    <row r="22" spans="2:16" ht="4.95" customHeight="1" x14ac:dyDescent="0.3">
      <c r="N22" s="2"/>
      <c r="O22" s="2"/>
    </row>
    <row r="23" spans="2:16" x14ac:dyDescent="0.3">
      <c r="B23" s="1" t="s">
        <v>19</v>
      </c>
      <c r="N23" s="183">
        <f>N$17*J8</f>
        <v>11401.916329440948</v>
      </c>
      <c r="O23" s="183">
        <f>K8*O17</f>
        <v>10437.401381231673</v>
      </c>
    </row>
    <row r="24" spans="2:16" x14ac:dyDescent="0.3">
      <c r="B24" s="80" t="s">
        <v>20</v>
      </c>
      <c r="C24" s="80"/>
      <c r="D24" s="80"/>
      <c r="E24" s="80"/>
      <c r="F24" s="80"/>
      <c r="G24" s="80"/>
      <c r="H24" s="80"/>
      <c r="I24" s="80"/>
      <c r="J24" s="80"/>
      <c r="K24" s="80"/>
      <c r="L24" s="80"/>
      <c r="M24" s="80"/>
      <c r="N24" s="188">
        <f>$G$8</f>
        <v>1301.46</v>
      </c>
      <c r="O24" s="188">
        <f>$G$8</f>
        <v>1301.46</v>
      </c>
      <c r="P24" s="169"/>
    </row>
    <row r="25" spans="2:16" x14ac:dyDescent="0.3">
      <c r="B25" s="1" t="s">
        <v>21</v>
      </c>
      <c r="N25" s="183">
        <f>N23-N24</f>
        <v>10100.456329440949</v>
      </c>
      <c r="O25" s="183">
        <f>O23-O24</f>
        <v>9135.9413812316743</v>
      </c>
    </row>
    <row r="26" spans="2:16" x14ac:dyDescent="0.3">
      <c r="B26" s="80" t="s">
        <v>4</v>
      </c>
      <c r="C26" s="80"/>
      <c r="D26" s="80"/>
      <c r="E26" s="80"/>
      <c r="F26" s="80"/>
      <c r="G26" s="80"/>
      <c r="H26" s="80"/>
      <c r="I26" s="80"/>
      <c r="J26" s="80"/>
      <c r="K26" s="80"/>
      <c r="L26" s="80"/>
      <c r="M26" s="80"/>
      <c r="N26" s="189">
        <f>$E$8</f>
        <v>32.14</v>
      </c>
      <c r="O26" s="189">
        <f>$E$8</f>
        <v>32.14</v>
      </c>
      <c r="P26" s="169"/>
    </row>
    <row r="27" spans="2:16" x14ac:dyDescent="0.3">
      <c r="B27" s="1" t="s">
        <v>38</v>
      </c>
      <c r="N27" s="79">
        <v>0.1</v>
      </c>
      <c r="O27" s="79">
        <v>0.1</v>
      </c>
    </row>
    <row r="28" spans="2:16" x14ac:dyDescent="0.3">
      <c r="B28" s="80" t="s">
        <v>39</v>
      </c>
      <c r="C28" s="80"/>
      <c r="D28" s="80"/>
      <c r="E28" s="80"/>
      <c r="F28" s="80"/>
      <c r="G28" s="80"/>
      <c r="H28" s="80"/>
      <c r="I28" s="80"/>
      <c r="J28" s="80"/>
      <c r="K28" s="80"/>
      <c r="L28" s="80"/>
      <c r="M28" s="80"/>
      <c r="N28" s="188">
        <f>-(N23*N27)</f>
        <v>-1140.1916329440949</v>
      </c>
      <c r="O28" s="188">
        <f>-(O23*O27)</f>
        <v>-1043.7401381231673</v>
      </c>
      <c r="P28" s="169"/>
    </row>
    <row r="29" spans="2:16" x14ac:dyDescent="0.3">
      <c r="B29" s="1" t="s">
        <v>29</v>
      </c>
      <c r="N29" s="183">
        <f>N23+N28</f>
        <v>10261.724696496853</v>
      </c>
      <c r="O29" s="183">
        <f>O23+O28</f>
        <v>9393.6612431085068</v>
      </c>
    </row>
    <row r="30" spans="2:16" x14ac:dyDescent="0.3">
      <c r="B30" s="80" t="s">
        <v>30</v>
      </c>
      <c r="C30" s="80"/>
      <c r="D30" s="80"/>
      <c r="E30" s="80"/>
      <c r="F30" s="80"/>
      <c r="G30" s="80"/>
      <c r="H30" s="80"/>
      <c r="I30" s="80"/>
      <c r="J30" s="80"/>
      <c r="K30" s="80"/>
      <c r="L30" s="80"/>
      <c r="M30" s="80"/>
      <c r="N30" s="188">
        <f>N29-N24</f>
        <v>8960.2646964968517</v>
      </c>
      <c r="O30" s="188">
        <f>O29-O24</f>
        <v>8092.2012431085068</v>
      </c>
      <c r="P30" s="169"/>
    </row>
    <row r="31" spans="2:16" x14ac:dyDescent="0.3">
      <c r="B31" s="1" t="s">
        <v>31</v>
      </c>
      <c r="N31" s="183">
        <f>N30/N26</f>
        <v>278.78857176405887</v>
      </c>
      <c r="O31" s="183">
        <f>O30/O26</f>
        <v>251.77975243025844</v>
      </c>
    </row>
    <row r="32" spans="2:16" ht="4.95" customHeight="1" thickBot="1" x14ac:dyDescent="0.35">
      <c r="N32" s="170"/>
      <c r="O32" s="170"/>
    </row>
    <row r="33" spans="2:16" ht="15" thickBot="1" x14ac:dyDescent="0.35">
      <c r="B33" s="84" t="s">
        <v>22</v>
      </c>
      <c r="C33" s="84"/>
      <c r="D33" s="84"/>
      <c r="E33" s="84"/>
      <c r="F33" s="84"/>
      <c r="G33" s="84"/>
      <c r="H33" s="84"/>
      <c r="I33" s="84"/>
      <c r="J33" s="84"/>
      <c r="K33" s="84"/>
      <c r="L33" s="84"/>
      <c r="M33" s="84"/>
      <c r="N33" s="190">
        <f>N30/N26</f>
        <v>278.78857176405887</v>
      </c>
      <c r="O33" s="190">
        <f>O30/O26</f>
        <v>251.77975243025844</v>
      </c>
      <c r="P33" s="171"/>
    </row>
    <row r="34" spans="2:16" ht="15" thickTop="1" x14ac:dyDescent="0.3">
      <c r="B34" s="5"/>
      <c r="C34" s="5"/>
      <c r="D34" s="5"/>
      <c r="E34" s="5"/>
      <c r="F34" s="5"/>
      <c r="G34" s="5"/>
      <c r="H34" s="5"/>
      <c r="I34" s="5"/>
      <c r="J34" s="5"/>
      <c r="K34" s="5"/>
      <c r="L34" s="5"/>
      <c r="M34" s="5"/>
      <c r="N34" s="6"/>
      <c r="O34" s="6"/>
    </row>
    <row r="35" spans="2:16" x14ac:dyDescent="0.3">
      <c r="B35" s="82" t="s">
        <v>32</v>
      </c>
      <c r="C35" s="172"/>
      <c r="D35" s="172"/>
      <c r="E35" s="172"/>
      <c r="F35" s="172"/>
      <c r="G35" s="172"/>
      <c r="H35" s="172"/>
      <c r="I35" s="172"/>
      <c r="J35" s="172"/>
      <c r="K35" s="172"/>
      <c r="L35" s="172"/>
      <c r="M35" s="172"/>
      <c r="N35" s="172"/>
      <c r="O35" s="173" t="s">
        <v>37</v>
      </c>
      <c r="P35" s="173"/>
    </row>
    <row r="36" spans="2:16" x14ac:dyDescent="0.3">
      <c r="B36" s="174" t="s">
        <v>178</v>
      </c>
      <c r="O36" s="175">
        <v>148</v>
      </c>
      <c r="P36" s="176"/>
    </row>
    <row r="37" spans="2:16" x14ac:dyDescent="0.3">
      <c r="B37" s="177" t="s">
        <v>33</v>
      </c>
      <c r="C37" s="80"/>
      <c r="D37" s="80"/>
      <c r="E37" s="80"/>
      <c r="F37" s="80"/>
      <c r="G37" s="80"/>
      <c r="H37" s="80"/>
      <c r="I37" s="80"/>
      <c r="J37" s="80"/>
      <c r="K37" s="80"/>
      <c r="L37" s="80"/>
      <c r="M37" s="80"/>
      <c r="N37" s="80"/>
      <c r="O37" s="178">
        <v>1.77</v>
      </c>
      <c r="P37" s="176"/>
    </row>
    <row r="38" spans="2:16" x14ac:dyDescent="0.3">
      <c r="B38" s="174" t="s">
        <v>34</v>
      </c>
      <c r="O38" s="191">
        <f>O36*O37</f>
        <v>261.95999999999998</v>
      </c>
      <c r="P38" s="176"/>
    </row>
    <row r="39" spans="2:16" x14ac:dyDescent="0.3">
      <c r="B39" s="177" t="s">
        <v>35</v>
      </c>
      <c r="C39" s="80"/>
      <c r="D39" s="80"/>
      <c r="E39" s="80"/>
      <c r="F39" s="80"/>
      <c r="G39" s="80"/>
      <c r="H39" s="80"/>
      <c r="I39" s="80"/>
      <c r="J39" s="80"/>
      <c r="K39" s="80"/>
      <c r="L39" s="80"/>
      <c r="M39" s="80"/>
      <c r="N39" s="80"/>
      <c r="O39" s="192">
        <f>O33</f>
        <v>251.77975243025844</v>
      </c>
      <c r="P39" s="176"/>
    </row>
    <row r="40" spans="2:16" x14ac:dyDescent="0.3">
      <c r="B40" s="179" t="s">
        <v>36</v>
      </c>
      <c r="C40" s="180"/>
      <c r="D40" s="180"/>
      <c r="E40" s="180"/>
      <c r="F40" s="180"/>
      <c r="G40" s="180"/>
      <c r="H40" s="180"/>
      <c r="I40" s="180"/>
      <c r="J40" s="180"/>
      <c r="K40" s="180"/>
      <c r="L40" s="180"/>
      <c r="M40" s="180"/>
      <c r="N40" s="180"/>
      <c r="O40" s="193">
        <f>O38/O39-1</f>
        <v>4.0433146317281343E-2</v>
      </c>
      <c r="P40" s="181"/>
    </row>
  </sheetData>
  <sheetProtection algorithmName="SHA-512" hashValue="JUL6P1Q69m+ysGwWSzUo9NwntvV0xNk68+vZLgmS0OVeTGW4wTU96I4K6+9pQRB6uJFCatuNbXjNAipl1fZC6g==" saltValue="e7d+LopqwlIYNCLAHaxnNA==" spinCount="100000" sheet="1" objects="1" scenarios="1"/>
  <mergeCells count="3">
    <mergeCell ref="D5:H5"/>
    <mergeCell ref="J5:L5"/>
    <mergeCell ref="N5:O5"/>
  </mergeCells>
  <pageMargins left="0.7" right="0.7" top="2.27" bottom="0.75" header="0.3" footer="0.3"/>
  <pageSetup scale="57"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F9BDB-B083-4E24-897D-C00ED8D16AB3}">
  <sheetPr>
    <pageSetUpPr fitToPage="1"/>
  </sheetPr>
  <dimension ref="B2:Z85"/>
  <sheetViews>
    <sheetView showGridLines="0" topLeftCell="A35" zoomScale="87" zoomScaleNormal="87" workbookViewId="0">
      <selection activeCell="K49" sqref="K49"/>
    </sheetView>
  </sheetViews>
  <sheetFormatPr defaultRowHeight="14.4" x14ac:dyDescent="0.3"/>
  <cols>
    <col min="1" max="1" width="2.33203125" style="9" customWidth="1"/>
    <col min="2" max="2" width="33.44140625" style="9" customWidth="1"/>
    <col min="3" max="3" width="16.21875" style="9" bestFit="1" customWidth="1"/>
    <col min="4" max="13" width="11.21875" style="9" customWidth="1"/>
    <col min="14" max="14" width="8.88671875" style="9"/>
    <col min="15" max="15" width="12.88671875" style="9" customWidth="1"/>
    <col min="16" max="16" width="15.33203125" style="9" customWidth="1"/>
    <col min="17" max="17" width="11.6640625" style="9" bestFit="1" customWidth="1"/>
    <col min="18" max="19" width="8.88671875" style="9"/>
    <col min="20" max="20" width="17.5546875" style="9" bestFit="1" customWidth="1"/>
    <col min="21" max="21" width="6.88671875" style="9" bestFit="1" customWidth="1"/>
    <col min="22" max="22" width="12" style="9" bestFit="1" customWidth="1"/>
    <col min="23" max="25" width="9" style="9" bestFit="1" customWidth="1"/>
    <col min="26" max="16384" width="8.88671875" style="9"/>
  </cols>
  <sheetData>
    <row r="2" spans="2:17" ht="23.4" x14ac:dyDescent="0.45">
      <c r="B2" s="394" t="s">
        <v>57</v>
      </c>
      <c r="C2" s="394"/>
      <c r="D2" s="394"/>
      <c r="E2" s="394"/>
      <c r="F2" s="394"/>
      <c r="G2" s="394"/>
      <c r="H2" s="394"/>
      <c r="I2" s="394"/>
      <c r="J2" s="394"/>
      <c r="K2" s="394"/>
      <c r="L2" s="394"/>
      <c r="M2" s="394"/>
      <c r="N2" s="394"/>
      <c r="O2" s="394"/>
      <c r="P2" s="394"/>
      <c r="Q2" s="394"/>
    </row>
    <row r="3" spans="2:17" ht="6.6" customHeight="1" x14ac:dyDescent="0.3"/>
    <row r="4" spans="2:17" ht="21" x14ac:dyDescent="0.4">
      <c r="B4" s="10" t="s">
        <v>110</v>
      </c>
    </row>
    <row r="5" spans="2:17" x14ac:dyDescent="0.3">
      <c r="B5" s="11" t="s">
        <v>112</v>
      </c>
    </row>
    <row r="6" spans="2:17" ht="15" thickBot="1" x14ac:dyDescent="0.35">
      <c r="B6" s="111"/>
      <c r="C6" s="111"/>
      <c r="D6" s="111"/>
      <c r="E6" s="111"/>
      <c r="F6" s="111"/>
      <c r="G6" s="111"/>
      <c r="H6" s="111"/>
      <c r="I6" s="111"/>
      <c r="J6" s="111"/>
      <c r="K6" s="111"/>
      <c r="L6" s="111"/>
      <c r="M6" s="111"/>
      <c r="N6" s="111"/>
      <c r="O6" s="111"/>
      <c r="P6" s="111"/>
      <c r="Q6" s="111"/>
    </row>
    <row r="7" spans="2:17" ht="15" thickTop="1" x14ac:dyDescent="0.3"/>
    <row r="8" spans="2:17" x14ac:dyDescent="0.3">
      <c r="B8" s="89" t="s">
        <v>189</v>
      </c>
      <c r="C8" s="90" t="s">
        <v>96</v>
      </c>
    </row>
    <row r="9" spans="2:17" x14ac:dyDescent="0.3">
      <c r="B9" s="12"/>
      <c r="C9" s="13"/>
    </row>
    <row r="10" spans="2:17" x14ac:dyDescent="0.3">
      <c r="B10" s="30" t="s">
        <v>40</v>
      </c>
      <c r="C10" s="91" t="s">
        <v>92</v>
      </c>
      <c r="D10" s="92">
        <v>46106</v>
      </c>
      <c r="E10" s="92">
        <v>46471</v>
      </c>
      <c r="F10" s="92">
        <v>46836</v>
      </c>
      <c r="G10" s="92">
        <v>47201</v>
      </c>
      <c r="H10" s="92">
        <v>47566</v>
      </c>
      <c r="I10" s="92">
        <v>47931</v>
      </c>
      <c r="J10" s="92">
        <v>48296</v>
      </c>
      <c r="K10" s="92">
        <v>48661</v>
      </c>
      <c r="L10" s="92">
        <v>49026</v>
      </c>
      <c r="M10" s="92">
        <v>49391</v>
      </c>
    </row>
    <row r="11" spans="2:17" x14ac:dyDescent="0.3">
      <c r="B11" s="1" t="s">
        <v>104</v>
      </c>
      <c r="C11" s="1"/>
      <c r="D11" s="194">
        <v>0.05</v>
      </c>
      <c r="E11" s="67"/>
      <c r="F11" s="67"/>
      <c r="G11" s="67"/>
      <c r="H11" s="67"/>
      <c r="I11" s="67"/>
      <c r="J11" s="67"/>
      <c r="K11" s="67"/>
      <c r="L11" s="67"/>
      <c r="M11" s="67"/>
    </row>
    <row r="12" spans="2:17" x14ac:dyDescent="0.3">
      <c r="B12" s="38" t="s">
        <v>41</v>
      </c>
      <c r="D12" s="200">
        <f>Q41</f>
        <v>0.14267574835144858</v>
      </c>
      <c r="E12" s="67"/>
      <c r="F12" s="67"/>
      <c r="G12" s="67"/>
      <c r="H12" s="67"/>
      <c r="I12" s="67"/>
      <c r="J12" s="67"/>
      <c r="K12" s="67"/>
      <c r="L12" s="67"/>
      <c r="M12" s="67"/>
    </row>
    <row r="13" spans="2:17" x14ac:dyDescent="0.3">
      <c r="B13" s="63" t="s">
        <v>98</v>
      </c>
      <c r="C13" s="62"/>
      <c r="D13" s="64">
        <v>0.08</v>
      </c>
      <c r="E13" s="64">
        <v>0.11</v>
      </c>
      <c r="F13" s="64">
        <v>0.14000000000000001</v>
      </c>
      <c r="G13" s="64">
        <v>0.15</v>
      </c>
      <c r="H13" s="64">
        <v>0.14000000000000001</v>
      </c>
      <c r="I13" s="64">
        <v>0.12</v>
      </c>
      <c r="J13" s="64">
        <v>0.1</v>
      </c>
      <c r="K13" s="64">
        <v>0.09</v>
      </c>
      <c r="L13" s="64">
        <v>7.4999999999999997E-2</v>
      </c>
      <c r="M13" s="64">
        <v>0.06</v>
      </c>
    </row>
    <row r="14" spans="2:17" x14ac:dyDescent="0.3">
      <c r="B14" s="9" t="s">
        <v>97</v>
      </c>
      <c r="D14" s="65">
        <v>0.14499999999999999</v>
      </c>
      <c r="E14" s="65">
        <v>0.152</v>
      </c>
      <c r="F14" s="65">
        <v>0.16</v>
      </c>
      <c r="G14" s="65">
        <v>0.17</v>
      </c>
      <c r="H14" s="65">
        <v>0.17799999999999999</v>
      </c>
      <c r="I14" s="65">
        <v>0.185</v>
      </c>
      <c r="J14" s="65">
        <v>0.19</v>
      </c>
      <c r="K14" s="65">
        <v>0.192</v>
      </c>
      <c r="L14" s="65">
        <v>0.192</v>
      </c>
      <c r="M14" s="65">
        <v>0.192</v>
      </c>
    </row>
    <row r="15" spans="2:17" x14ac:dyDescent="0.3">
      <c r="B15" s="9" t="s">
        <v>99</v>
      </c>
      <c r="D15" s="65">
        <v>0.124</v>
      </c>
      <c r="E15" s="65">
        <v>0.122</v>
      </c>
      <c r="F15" s="65">
        <v>0.12</v>
      </c>
      <c r="G15" s="65">
        <v>0.11799999999999999</v>
      </c>
      <c r="H15" s="65">
        <v>0.11600000000000001</v>
      </c>
      <c r="I15" s="65">
        <v>0.114</v>
      </c>
      <c r="J15" s="65">
        <v>0.112</v>
      </c>
      <c r="K15" s="65">
        <v>0.11</v>
      </c>
      <c r="L15" s="65">
        <v>0.108</v>
      </c>
      <c r="M15" s="65">
        <v>0.1</v>
      </c>
    </row>
    <row r="16" spans="2:17" x14ac:dyDescent="0.3">
      <c r="B16" s="9" t="s">
        <v>100</v>
      </c>
      <c r="C16" s="29"/>
      <c r="D16" s="65">
        <v>9.5000000000000001E-2</v>
      </c>
      <c r="E16" s="65">
        <v>0.11</v>
      </c>
      <c r="F16" s="65">
        <v>0.12</v>
      </c>
      <c r="G16" s="65">
        <v>0.12</v>
      </c>
      <c r="H16" s="65">
        <v>0.11</v>
      </c>
      <c r="I16" s="65">
        <v>0.1</v>
      </c>
      <c r="J16" s="65">
        <v>9.5000000000000001E-2</v>
      </c>
      <c r="K16" s="65">
        <v>0.09</v>
      </c>
      <c r="L16" s="65">
        <v>8.5000000000000006E-2</v>
      </c>
      <c r="M16" s="65">
        <v>0.105</v>
      </c>
    </row>
    <row r="17" spans="2:26" x14ac:dyDescent="0.3">
      <c r="B17" s="9" t="s">
        <v>102</v>
      </c>
      <c r="C17" s="66">
        <v>4.4999999999999998E-2</v>
      </c>
      <c r="D17" s="66">
        <v>4.4999999999999998E-2</v>
      </c>
      <c r="E17" s="66">
        <v>4.4999999999999998E-2</v>
      </c>
      <c r="F17" s="66">
        <v>4.4999999999999998E-2</v>
      </c>
      <c r="G17" s="66">
        <v>4.4999999999999998E-2</v>
      </c>
      <c r="H17" s="66">
        <v>4.4999999999999998E-2</v>
      </c>
      <c r="I17" s="66">
        <v>4.4999999999999998E-2</v>
      </c>
      <c r="J17" s="66">
        <v>4.4999999999999998E-2</v>
      </c>
      <c r="K17" s="66">
        <v>4.4999999999999998E-2</v>
      </c>
      <c r="L17" s="66">
        <v>4.4999999999999998E-2</v>
      </c>
      <c r="M17" s="66">
        <v>4.4999999999999998E-2</v>
      </c>
    </row>
    <row r="18" spans="2:26" x14ac:dyDescent="0.3">
      <c r="B18" s="9" t="s">
        <v>103</v>
      </c>
      <c r="C18" s="201">
        <f>C17*C26</f>
        <v>134.41499999999999</v>
      </c>
      <c r="D18" s="201">
        <f t="shared" ref="D18:M18" si="0">D26*D17</f>
        <v>145.16819999999998</v>
      </c>
      <c r="E18" s="201">
        <f t="shared" si="0"/>
        <v>161.13670200000001</v>
      </c>
      <c r="F18" s="201">
        <f t="shared" si="0"/>
        <v>183.69584028000003</v>
      </c>
      <c r="G18" s="201">
        <f t="shared" si="0"/>
        <v>211.250216322</v>
      </c>
      <c r="H18" s="201">
        <f t="shared" si="0"/>
        <v>240.82524660708</v>
      </c>
      <c r="I18" s="201">
        <f t="shared" si="0"/>
        <v>269.72427619992965</v>
      </c>
      <c r="J18" s="201">
        <f t="shared" si="0"/>
        <v>296.69670381992262</v>
      </c>
      <c r="K18" s="201">
        <f t="shared" si="0"/>
        <v>323.39940716371569</v>
      </c>
      <c r="L18" s="201">
        <f t="shared" si="0"/>
        <v>347.65436270099434</v>
      </c>
      <c r="M18" s="201">
        <f t="shared" si="0"/>
        <v>368.51362446305404</v>
      </c>
    </row>
    <row r="19" spans="2:26" x14ac:dyDescent="0.3">
      <c r="B19" s="9" t="s">
        <v>101</v>
      </c>
      <c r="D19" s="201">
        <f>D18-C18</f>
        <v>10.753199999999993</v>
      </c>
      <c r="E19" s="201">
        <f t="shared" ref="E19:M19" si="1">E18-D18</f>
        <v>15.968502000000029</v>
      </c>
      <c r="F19" s="201">
        <f t="shared" si="1"/>
        <v>22.559138280000013</v>
      </c>
      <c r="G19" s="201">
        <f t="shared" si="1"/>
        <v>27.554376041999973</v>
      </c>
      <c r="H19" s="201">
        <f t="shared" si="1"/>
        <v>29.575030285080004</v>
      </c>
      <c r="I19" s="201">
        <f t="shared" si="1"/>
        <v>28.899029592849644</v>
      </c>
      <c r="J19" s="201">
        <f t="shared" si="1"/>
        <v>26.97242761999297</v>
      </c>
      <c r="K19" s="201">
        <f t="shared" si="1"/>
        <v>26.702703343793075</v>
      </c>
      <c r="L19" s="201">
        <f t="shared" si="1"/>
        <v>24.254955537278647</v>
      </c>
      <c r="M19" s="201">
        <f t="shared" si="1"/>
        <v>20.859261762059703</v>
      </c>
    </row>
    <row r="20" spans="2:26" x14ac:dyDescent="0.3">
      <c r="D20" s="69"/>
      <c r="E20" s="69"/>
      <c r="F20" s="69"/>
      <c r="G20" s="69"/>
      <c r="H20" s="69"/>
      <c r="I20" s="69"/>
      <c r="J20" s="69"/>
      <c r="K20" s="69"/>
      <c r="L20" s="69"/>
      <c r="M20" s="69"/>
    </row>
    <row r="21" spans="2:26" x14ac:dyDescent="0.3">
      <c r="B21" s="14" t="s">
        <v>58</v>
      </c>
    </row>
    <row r="22" spans="2:26" x14ac:dyDescent="0.3">
      <c r="B22" s="93"/>
      <c r="C22" s="94" t="s">
        <v>42</v>
      </c>
      <c r="D22" s="395" t="s">
        <v>43</v>
      </c>
      <c r="E22" s="396"/>
      <c r="F22" s="396"/>
      <c r="G22" s="396"/>
      <c r="H22" s="396"/>
      <c r="I22" s="396"/>
      <c r="J22" s="396"/>
      <c r="K22" s="396"/>
      <c r="L22" s="396"/>
      <c r="M22" s="397"/>
      <c r="O22" s="100" t="s">
        <v>59</v>
      </c>
      <c r="P22" s="100"/>
      <c r="Q22" s="100"/>
    </row>
    <row r="23" spans="2:26" x14ac:dyDescent="0.3">
      <c r="B23" s="95" t="s">
        <v>44</v>
      </c>
      <c r="C23" s="96" t="s">
        <v>92</v>
      </c>
      <c r="D23" s="97">
        <v>46106</v>
      </c>
      <c r="E23" s="98">
        <v>46471</v>
      </c>
      <c r="F23" s="98">
        <v>46836</v>
      </c>
      <c r="G23" s="98">
        <v>47201</v>
      </c>
      <c r="H23" s="98">
        <v>47566</v>
      </c>
      <c r="I23" s="98">
        <v>47931</v>
      </c>
      <c r="J23" s="98">
        <v>48296</v>
      </c>
      <c r="K23" s="98">
        <v>48661</v>
      </c>
      <c r="L23" s="98">
        <v>49026</v>
      </c>
      <c r="M23" s="99">
        <v>49391</v>
      </c>
      <c r="O23" s="15" t="s">
        <v>60</v>
      </c>
      <c r="P23" s="16"/>
      <c r="Q23" s="17"/>
    </row>
    <row r="24" spans="2:26" x14ac:dyDescent="0.3">
      <c r="O24" s="18" t="s">
        <v>61</v>
      </c>
      <c r="Q24" s="19">
        <v>7.0000000000000007E-2</v>
      </c>
    </row>
    <row r="25" spans="2:26" x14ac:dyDescent="0.3">
      <c r="B25" s="20" t="s">
        <v>45</v>
      </c>
      <c r="C25" s="21">
        <v>0</v>
      </c>
      <c r="D25" s="22">
        <v>0.5</v>
      </c>
      <c r="E25" s="202">
        <f t="shared" ref="E25:M25" si="2">D25+1</f>
        <v>1.5</v>
      </c>
      <c r="F25" s="202">
        <f t="shared" si="2"/>
        <v>2.5</v>
      </c>
      <c r="G25" s="202">
        <f t="shared" si="2"/>
        <v>3.5</v>
      </c>
      <c r="H25" s="202">
        <f t="shared" si="2"/>
        <v>4.5</v>
      </c>
      <c r="I25" s="202">
        <f t="shared" si="2"/>
        <v>5.5</v>
      </c>
      <c r="J25" s="202">
        <f t="shared" si="2"/>
        <v>6.5</v>
      </c>
      <c r="K25" s="202">
        <f t="shared" si="2"/>
        <v>7.5</v>
      </c>
      <c r="L25" s="202">
        <f t="shared" si="2"/>
        <v>8.5</v>
      </c>
      <c r="M25" s="202">
        <f t="shared" si="2"/>
        <v>9.5</v>
      </c>
      <c r="O25" s="18" t="s">
        <v>62</v>
      </c>
      <c r="Q25" s="19">
        <v>7.0800000000000002E-2</v>
      </c>
    </row>
    <row r="26" spans="2:26" x14ac:dyDescent="0.3">
      <c r="B26" s="9" t="s">
        <v>8</v>
      </c>
      <c r="C26" s="203">
        <f>'Relative Valuation'!J8</f>
        <v>2987</v>
      </c>
      <c r="D26" s="203">
        <f t="shared" ref="D26:M26" si="3">C26*(1+D13)</f>
        <v>3225.96</v>
      </c>
      <c r="E26" s="203">
        <f t="shared" si="3"/>
        <v>3580.8156000000004</v>
      </c>
      <c r="F26" s="203">
        <f t="shared" si="3"/>
        <v>4082.1297840000007</v>
      </c>
      <c r="G26" s="203">
        <f t="shared" si="3"/>
        <v>4694.4492516</v>
      </c>
      <c r="H26" s="203">
        <f t="shared" si="3"/>
        <v>5351.6721468240003</v>
      </c>
      <c r="I26" s="203">
        <f t="shared" si="3"/>
        <v>5993.8728044428808</v>
      </c>
      <c r="J26" s="203">
        <f t="shared" si="3"/>
        <v>6593.2600848871698</v>
      </c>
      <c r="K26" s="203">
        <f t="shared" si="3"/>
        <v>7186.6534925270153</v>
      </c>
      <c r="L26" s="203">
        <f t="shared" si="3"/>
        <v>7725.6525044665414</v>
      </c>
      <c r="M26" s="203">
        <f t="shared" si="3"/>
        <v>8189.1916547345345</v>
      </c>
      <c r="O26" s="18" t="s">
        <v>63</v>
      </c>
      <c r="Q26" s="23">
        <v>1.06</v>
      </c>
    </row>
    <row r="27" spans="2:26" x14ac:dyDescent="0.3">
      <c r="B27" s="9" t="s">
        <v>9</v>
      </c>
      <c r="C27" s="203">
        <f>'Relative Valuation'!K8</f>
        <v>455</v>
      </c>
      <c r="D27" s="203">
        <f t="shared" ref="D27:M27" si="4">D26*D14</f>
        <v>467.76419999999996</v>
      </c>
      <c r="E27" s="203">
        <f t="shared" si="4"/>
        <v>544.2839712</v>
      </c>
      <c r="F27" s="203">
        <f t="shared" si="4"/>
        <v>653.14076544000011</v>
      </c>
      <c r="G27" s="203">
        <f t="shared" si="4"/>
        <v>798.05637277200003</v>
      </c>
      <c r="H27" s="203">
        <f t="shared" si="4"/>
        <v>952.59764213467201</v>
      </c>
      <c r="I27" s="203">
        <f t="shared" si="4"/>
        <v>1108.866468821933</v>
      </c>
      <c r="J27" s="203">
        <f t="shared" si="4"/>
        <v>1252.7194161285622</v>
      </c>
      <c r="K27" s="203">
        <f t="shared" si="4"/>
        <v>1379.837470565187</v>
      </c>
      <c r="L27" s="203">
        <f t="shared" si="4"/>
        <v>1483.325280857576</v>
      </c>
      <c r="M27" s="203">
        <f t="shared" si="4"/>
        <v>1572.3247977090307</v>
      </c>
      <c r="O27" s="9" t="s">
        <v>91</v>
      </c>
      <c r="Q27" s="19">
        <v>1.2500000000000001E-2</v>
      </c>
    </row>
    <row r="28" spans="2:26" x14ac:dyDescent="0.3">
      <c r="B28" s="9" t="s">
        <v>66</v>
      </c>
      <c r="C28" s="61">
        <v>374.67</v>
      </c>
      <c r="D28" s="204">
        <f>D26*D15</f>
        <v>400.01904000000002</v>
      </c>
      <c r="E28" s="204">
        <f t="shared" ref="E28:L28" si="5">E26*E15</f>
        <v>436.85950320000001</v>
      </c>
      <c r="F28" s="204">
        <f t="shared" si="5"/>
        <v>489.85557408000005</v>
      </c>
      <c r="G28" s="204">
        <f t="shared" si="5"/>
        <v>553.94501168879992</v>
      </c>
      <c r="H28" s="204">
        <f t="shared" si="5"/>
        <v>620.79396903158408</v>
      </c>
      <c r="I28" s="204">
        <f t="shared" si="5"/>
        <v>683.30149970648847</v>
      </c>
      <c r="J28" s="204">
        <f t="shared" si="5"/>
        <v>738.44512950736305</v>
      </c>
      <c r="K28" s="204">
        <f t="shared" si="5"/>
        <v>790.53188417797173</v>
      </c>
      <c r="L28" s="204">
        <f t="shared" si="5"/>
        <v>834.37047048238651</v>
      </c>
      <c r="M28" s="204">
        <f>M26*M15</f>
        <v>818.91916547345352</v>
      </c>
      <c r="O28" s="25" t="s">
        <v>64</v>
      </c>
      <c r="P28" s="26"/>
      <c r="Q28" s="205">
        <f>Q24+(Q26*Q25)+Q27</f>
        <v>0.15754800000000002</v>
      </c>
      <c r="S28" s="1"/>
      <c r="T28" s="1"/>
      <c r="U28" s="1"/>
      <c r="V28" s="1"/>
      <c r="W28" s="1"/>
      <c r="X28" s="1"/>
      <c r="Y28" s="1"/>
      <c r="Z28" s="1"/>
    </row>
    <row r="29" spans="2:26" x14ac:dyDescent="0.3">
      <c r="B29" s="31" t="s">
        <v>68</v>
      </c>
      <c r="C29" s="203">
        <f>C27-C28</f>
        <v>80.329999999999984</v>
      </c>
      <c r="D29" s="203">
        <f t="shared" ref="D29:M29" si="6">D27-D28</f>
        <v>67.745159999999942</v>
      </c>
      <c r="E29" s="203">
        <f t="shared" si="6"/>
        <v>107.42446799999999</v>
      </c>
      <c r="F29" s="203">
        <f t="shared" si="6"/>
        <v>163.28519136000006</v>
      </c>
      <c r="G29" s="203">
        <f t="shared" si="6"/>
        <v>244.11136108320011</v>
      </c>
      <c r="H29" s="203">
        <f t="shared" si="6"/>
        <v>331.80367310308793</v>
      </c>
      <c r="I29" s="203">
        <f t="shared" si="6"/>
        <v>425.56496911544457</v>
      </c>
      <c r="J29" s="203">
        <f t="shared" si="6"/>
        <v>514.27428662119917</v>
      </c>
      <c r="K29" s="203">
        <f t="shared" si="6"/>
        <v>589.30558638721527</v>
      </c>
      <c r="L29" s="203">
        <f t="shared" si="6"/>
        <v>648.95481037518948</v>
      </c>
      <c r="M29" s="203">
        <f t="shared" si="6"/>
        <v>753.40563223557717</v>
      </c>
      <c r="O29" s="18"/>
      <c r="Q29" s="34"/>
      <c r="R29" s="29"/>
      <c r="S29" s="1"/>
      <c r="T29" s="1"/>
      <c r="U29" s="1"/>
      <c r="V29" s="1"/>
      <c r="W29" s="1"/>
      <c r="X29" s="1"/>
      <c r="Y29" s="1"/>
      <c r="Z29" s="1"/>
    </row>
    <row r="30" spans="2:26" x14ac:dyDescent="0.3">
      <c r="B30" s="9" t="s">
        <v>93</v>
      </c>
      <c r="C30" s="58">
        <v>0.25</v>
      </c>
      <c r="D30" s="58">
        <v>0.25</v>
      </c>
      <c r="E30" s="58">
        <v>0.25</v>
      </c>
      <c r="F30" s="58">
        <v>0.25</v>
      </c>
      <c r="G30" s="58">
        <v>0.25</v>
      </c>
      <c r="H30" s="58">
        <v>0.25</v>
      </c>
      <c r="I30" s="58">
        <v>0.25</v>
      </c>
      <c r="J30" s="58">
        <v>0.25</v>
      </c>
      <c r="K30" s="58">
        <v>0.25</v>
      </c>
      <c r="L30" s="58">
        <v>0.25</v>
      </c>
      <c r="M30" s="58">
        <v>0.25</v>
      </c>
      <c r="O30" s="18" t="s">
        <v>67</v>
      </c>
      <c r="Q30" s="28">
        <v>8.1159420289855094E-2</v>
      </c>
      <c r="S30" s="1"/>
      <c r="T30" s="1"/>
      <c r="U30" s="1"/>
      <c r="V30" s="1"/>
      <c r="W30" s="1"/>
      <c r="X30" s="1"/>
      <c r="Y30" s="1"/>
      <c r="Z30" s="1"/>
    </row>
    <row r="31" spans="2:26" x14ac:dyDescent="0.3">
      <c r="B31" s="59" t="s">
        <v>95</v>
      </c>
      <c r="C31" s="204">
        <f>C29*C30</f>
        <v>20.082499999999996</v>
      </c>
      <c r="D31" s="204">
        <f>D29*D30</f>
        <v>16.936289999999985</v>
      </c>
      <c r="E31" s="204">
        <f>E29*E30</f>
        <v>26.856116999999998</v>
      </c>
      <c r="F31" s="204">
        <f t="shared" ref="F31:M31" si="7">F29*F30</f>
        <v>40.821297840000014</v>
      </c>
      <c r="G31" s="204">
        <f t="shared" si="7"/>
        <v>61.027840270800027</v>
      </c>
      <c r="H31" s="204">
        <f t="shared" si="7"/>
        <v>82.950918275771983</v>
      </c>
      <c r="I31" s="204">
        <f t="shared" si="7"/>
        <v>106.39124227886114</v>
      </c>
      <c r="J31" s="204">
        <f t="shared" si="7"/>
        <v>128.56857165529979</v>
      </c>
      <c r="K31" s="204">
        <f t="shared" si="7"/>
        <v>147.32639659680382</v>
      </c>
      <c r="L31" s="204">
        <f t="shared" si="7"/>
        <v>162.23870259379737</v>
      </c>
      <c r="M31" s="204">
        <f t="shared" si="7"/>
        <v>188.35140805889429</v>
      </c>
      <c r="O31" s="18" t="s">
        <v>69</v>
      </c>
      <c r="Q31" s="19">
        <v>0.25</v>
      </c>
      <c r="S31" s="1"/>
      <c r="T31" s="1"/>
      <c r="U31" s="1"/>
      <c r="V31" s="1"/>
      <c r="W31" s="1"/>
      <c r="X31" s="1"/>
      <c r="Y31" s="1"/>
      <c r="Z31" s="1"/>
    </row>
    <row r="32" spans="2:26" x14ac:dyDescent="0.3">
      <c r="B32" s="9" t="s">
        <v>48</v>
      </c>
      <c r="C32" s="203">
        <f>C29-C31</f>
        <v>60.247499999999988</v>
      </c>
      <c r="D32" s="203">
        <f t="shared" ref="D32:M32" si="8">D29-D31</f>
        <v>50.808869999999956</v>
      </c>
      <c r="E32" s="203">
        <f t="shared" si="8"/>
        <v>80.568350999999993</v>
      </c>
      <c r="F32" s="203">
        <f t="shared" si="8"/>
        <v>122.46389352000004</v>
      </c>
      <c r="G32" s="203">
        <f t="shared" si="8"/>
        <v>183.08352081240008</v>
      </c>
      <c r="H32" s="203">
        <f t="shared" si="8"/>
        <v>248.85275482731595</v>
      </c>
      <c r="I32" s="203">
        <f t="shared" si="8"/>
        <v>319.17372683658346</v>
      </c>
      <c r="J32" s="203">
        <f t="shared" si="8"/>
        <v>385.70571496589935</v>
      </c>
      <c r="K32" s="203">
        <f t="shared" si="8"/>
        <v>441.97918979041145</v>
      </c>
      <c r="L32" s="203">
        <f t="shared" si="8"/>
        <v>486.71610778139211</v>
      </c>
      <c r="M32" s="203">
        <f t="shared" si="8"/>
        <v>565.05422417668285</v>
      </c>
      <c r="O32" s="32" t="s">
        <v>70</v>
      </c>
      <c r="P32" s="33"/>
      <c r="Q32" s="207">
        <f>Q30*(1-Q31)</f>
        <v>6.0869565217391321E-2</v>
      </c>
      <c r="S32" s="1"/>
      <c r="T32" s="1"/>
      <c r="U32" s="1"/>
      <c r="V32" s="1"/>
      <c r="W32" s="1"/>
      <c r="X32" s="1"/>
      <c r="Y32" s="1"/>
      <c r="Z32" s="1"/>
    </row>
    <row r="33" spans="2:26" x14ac:dyDescent="0.3">
      <c r="B33" s="59" t="s">
        <v>71</v>
      </c>
      <c r="C33" s="204">
        <f>C28</f>
        <v>374.67</v>
      </c>
      <c r="D33" s="204">
        <f t="shared" ref="D33:M33" si="9">D28</f>
        <v>400.01904000000002</v>
      </c>
      <c r="E33" s="204">
        <f t="shared" si="9"/>
        <v>436.85950320000001</v>
      </c>
      <c r="F33" s="204">
        <f t="shared" si="9"/>
        <v>489.85557408000005</v>
      </c>
      <c r="G33" s="204">
        <f t="shared" si="9"/>
        <v>553.94501168879992</v>
      </c>
      <c r="H33" s="204">
        <f t="shared" si="9"/>
        <v>620.79396903158408</v>
      </c>
      <c r="I33" s="204">
        <f t="shared" si="9"/>
        <v>683.30149970648847</v>
      </c>
      <c r="J33" s="204">
        <f t="shared" si="9"/>
        <v>738.44512950736305</v>
      </c>
      <c r="K33" s="204">
        <f t="shared" si="9"/>
        <v>790.53188417797173</v>
      </c>
      <c r="L33" s="204">
        <f t="shared" si="9"/>
        <v>834.37047048238651</v>
      </c>
      <c r="M33" s="204">
        <f t="shared" si="9"/>
        <v>818.91916547345352</v>
      </c>
      <c r="O33" s="18"/>
      <c r="Q33" s="34"/>
      <c r="S33" s="1"/>
      <c r="T33" s="1"/>
      <c r="U33" s="1"/>
      <c r="V33" s="1"/>
      <c r="W33" s="1"/>
      <c r="X33" s="1"/>
      <c r="Y33" s="1"/>
      <c r="Z33" s="1"/>
    </row>
    <row r="34" spans="2:26" x14ac:dyDescent="0.3">
      <c r="B34" s="85" t="s">
        <v>94</v>
      </c>
      <c r="C34" s="206">
        <f>C32+C33</f>
        <v>434.91750000000002</v>
      </c>
      <c r="D34" s="206">
        <f t="shared" ref="D34:L34" si="10">D32+D33</f>
        <v>450.82790999999997</v>
      </c>
      <c r="E34" s="206">
        <f t="shared" si="10"/>
        <v>517.42785419999996</v>
      </c>
      <c r="F34" s="206">
        <f t="shared" si="10"/>
        <v>612.31946760000005</v>
      </c>
      <c r="G34" s="206">
        <f t="shared" si="10"/>
        <v>737.02853250120006</v>
      </c>
      <c r="H34" s="206">
        <f t="shared" si="10"/>
        <v>869.64672385890003</v>
      </c>
      <c r="I34" s="206">
        <f t="shared" si="10"/>
        <v>1002.4752265430719</v>
      </c>
      <c r="J34" s="206">
        <f t="shared" si="10"/>
        <v>1124.1508444732624</v>
      </c>
      <c r="K34" s="206">
        <f t="shared" si="10"/>
        <v>1232.5110739683832</v>
      </c>
      <c r="L34" s="206">
        <f t="shared" si="10"/>
        <v>1321.0865782637786</v>
      </c>
      <c r="M34" s="206">
        <f>M32+M33</f>
        <v>1383.9733896501364</v>
      </c>
      <c r="O34" s="18" t="s">
        <v>72</v>
      </c>
      <c r="Q34" s="163">
        <v>7158.8</v>
      </c>
      <c r="S34" s="1"/>
      <c r="T34" s="1"/>
      <c r="U34" s="1"/>
      <c r="V34" s="1"/>
      <c r="W34" s="1"/>
      <c r="X34" s="1"/>
      <c r="Y34" s="1"/>
      <c r="Z34" s="1"/>
    </row>
    <row r="35" spans="2:26" x14ac:dyDescent="0.3">
      <c r="B35" s="9" t="s">
        <v>49</v>
      </c>
      <c r="C35" s="24"/>
      <c r="D35" s="24"/>
      <c r="E35" s="24"/>
      <c r="F35" s="24"/>
      <c r="G35" s="24"/>
      <c r="H35" s="24"/>
      <c r="I35" s="24"/>
      <c r="J35" s="24"/>
      <c r="K35" s="24"/>
      <c r="L35" s="24"/>
      <c r="M35" s="24"/>
      <c r="O35" s="18" t="s">
        <v>6</v>
      </c>
      <c r="Q35" s="210">
        <f>'Relative Valuation'!G8</f>
        <v>1301.46</v>
      </c>
      <c r="S35" s="1"/>
      <c r="T35" s="1"/>
      <c r="U35" s="1"/>
      <c r="V35" s="1"/>
      <c r="W35" s="1"/>
      <c r="X35" s="1"/>
      <c r="Y35" s="1"/>
      <c r="Z35" s="1"/>
    </row>
    <row r="36" spans="2:26" x14ac:dyDescent="0.3">
      <c r="B36" s="60" t="s">
        <v>50</v>
      </c>
      <c r="C36" s="68">
        <v>9.5</v>
      </c>
      <c r="D36" s="203">
        <f>D19</f>
        <v>10.753199999999993</v>
      </c>
      <c r="E36" s="203">
        <f t="shared" ref="E36:M36" si="11">E19</f>
        <v>15.968502000000029</v>
      </c>
      <c r="F36" s="203">
        <f t="shared" si="11"/>
        <v>22.559138280000013</v>
      </c>
      <c r="G36" s="203">
        <f t="shared" si="11"/>
        <v>27.554376041999973</v>
      </c>
      <c r="H36" s="203">
        <f t="shared" si="11"/>
        <v>29.575030285080004</v>
      </c>
      <c r="I36" s="203">
        <f t="shared" si="11"/>
        <v>28.899029592849644</v>
      </c>
      <c r="J36" s="203">
        <f t="shared" si="11"/>
        <v>26.97242761999297</v>
      </c>
      <c r="K36" s="203">
        <f t="shared" si="11"/>
        <v>26.702703343793075</v>
      </c>
      <c r="L36" s="203">
        <f t="shared" si="11"/>
        <v>24.254955537278647</v>
      </c>
      <c r="M36" s="203">
        <f t="shared" si="11"/>
        <v>20.859261762059703</v>
      </c>
      <c r="O36" s="18" t="s">
        <v>73</v>
      </c>
      <c r="Q36" s="211">
        <f>SUM(Q34:Q35)</f>
        <v>8460.26</v>
      </c>
      <c r="S36" s="1"/>
      <c r="T36" s="1"/>
      <c r="U36" s="1"/>
      <c r="V36" s="1"/>
      <c r="W36" s="1"/>
      <c r="X36" s="1"/>
      <c r="Y36" s="1"/>
      <c r="Z36" s="1"/>
    </row>
    <row r="37" spans="2:26" x14ac:dyDescent="0.3">
      <c r="B37" s="60" t="s">
        <v>56</v>
      </c>
      <c r="C37" s="61">
        <v>281</v>
      </c>
      <c r="D37" s="204">
        <f>D26*D16</f>
        <v>306.46620000000001</v>
      </c>
      <c r="E37" s="204">
        <f t="shared" ref="E37:M37" si="12">E26*E16</f>
        <v>393.88971600000002</v>
      </c>
      <c r="F37" s="204">
        <f t="shared" si="12"/>
        <v>489.85557408000005</v>
      </c>
      <c r="G37" s="204">
        <f t="shared" si="12"/>
        <v>563.33391019199996</v>
      </c>
      <c r="H37" s="204">
        <f t="shared" si="12"/>
        <v>588.68393615064008</v>
      </c>
      <c r="I37" s="204">
        <f t="shared" si="12"/>
        <v>599.38728044428808</v>
      </c>
      <c r="J37" s="204">
        <f t="shared" si="12"/>
        <v>626.35970806428111</v>
      </c>
      <c r="K37" s="204">
        <f t="shared" si="12"/>
        <v>646.79881432743139</v>
      </c>
      <c r="L37" s="204">
        <f t="shared" si="12"/>
        <v>656.68046287965603</v>
      </c>
      <c r="M37" s="204">
        <f t="shared" si="12"/>
        <v>859.86512374712606</v>
      </c>
      <c r="O37" s="18"/>
      <c r="Q37" s="27"/>
      <c r="S37" s="1"/>
      <c r="T37" s="1"/>
      <c r="U37" s="1"/>
      <c r="V37" s="1"/>
      <c r="W37" s="1"/>
      <c r="X37" s="1"/>
      <c r="Y37" s="1"/>
      <c r="Z37" s="1"/>
    </row>
    <row r="38" spans="2:26" x14ac:dyDescent="0.3">
      <c r="B38" s="86" t="s">
        <v>51</v>
      </c>
      <c r="C38" s="206">
        <f>C34-C36-C37</f>
        <v>144.41750000000002</v>
      </c>
      <c r="D38" s="206">
        <f t="shared" ref="D38:M38" si="13">D34-D36-D37</f>
        <v>133.60850999999997</v>
      </c>
      <c r="E38" s="206">
        <f t="shared" si="13"/>
        <v>107.56963619999988</v>
      </c>
      <c r="F38" s="206">
        <f t="shared" si="13"/>
        <v>99.904755239999929</v>
      </c>
      <c r="G38" s="206">
        <f t="shared" si="13"/>
        <v>146.14024626720015</v>
      </c>
      <c r="H38" s="206">
        <f t="shared" si="13"/>
        <v>251.38775742318001</v>
      </c>
      <c r="I38" s="206">
        <f t="shared" si="13"/>
        <v>374.18891650593423</v>
      </c>
      <c r="J38" s="206">
        <f t="shared" si="13"/>
        <v>470.81870878898837</v>
      </c>
      <c r="K38" s="206">
        <f t="shared" si="13"/>
        <v>559.00955629715884</v>
      </c>
      <c r="L38" s="206">
        <f t="shared" si="13"/>
        <v>640.15115984684394</v>
      </c>
      <c r="M38" s="206">
        <f t="shared" si="13"/>
        <v>503.24900414095055</v>
      </c>
      <c r="O38" s="18" t="s">
        <v>47</v>
      </c>
      <c r="Q38" s="212">
        <f>Q34/Q36</f>
        <v>0.84616784826943858</v>
      </c>
      <c r="S38" s="1"/>
      <c r="T38" s="1"/>
      <c r="U38" s="1"/>
      <c r="V38" s="1"/>
      <c r="W38" s="1"/>
      <c r="X38" s="1"/>
      <c r="Y38" s="1"/>
      <c r="Z38" s="1"/>
    </row>
    <row r="39" spans="2:26" ht="15" thickBot="1" x14ac:dyDescent="0.35">
      <c r="B39" s="87" t="s">
        <v>52</v>
      </c>
      <c r="C39" s="195"/>
      <c r="D39" s="208">
        <f t="shared" ref="D39:M39" si="14">$D$12</f>
        <v>0.14267574835144858</v>
      </c>
      <c r="E39" s="208">
        <f t="shared" si="14"/>
        <v>0.14267574835144858</v>
      </c>
      <c r="F39" s="208">
        <f t="shared" si="14"/>
        <v>0.14267574835144858</v>
      </c>
      <c r="G39" s="208">
        <f t="shared" si="14"/>
        <v>0.14267574835144858</v>
      </c>
      <c r="H39" s="208">
        <f t="shared" si="14"/>
        <v>0.14267574835144858</v>
      </c>
      <c r="I39" s="208">
        <f t="shared" si="14"/>
        <v>0.14267574835144858</v>
      </c>
      <c r="J39" s="208">
        <f t="shared" si="14"/>
        <v>0.14267574835144858</v>
      </c>
      <c r="K39" s="208">
        <f t="shared" si="14"/>
        <v>0.14267574835144858</v>
      </c>
      <c r="L39" s="208">
        <f t="shared" si="14"/>
        <v>0.14267574835144858</v>
      </c>
      <c r="M39" s="208">
        <f t="shared" si="14"/>
        <v>0.14267574835144858</v>
      </c>
      <c r="O39" s="18" t="s">
        <v>46</v>
      </c>
      <c r="Q39" s="212">
        <f>Q35/Q36</f>
        <v>0.15383215173056147</v>
      </c>
    </row>
    <row r="40" spans="2:26" ht="15" thickBot="1" x14ac:dyDescent="0.35">
      <c r="B40" s="88" t="s">
        <v>53</v>
      </c>
      <c r="C40" s="88"/>
      <c r="D40" s="209">
        <f>D38/(1+D39)^D25</f>
        <v>124.98923664581321</v>
      </c>
      <c r="E40" s="209">
        <f t="shared" ref="E40:M40" si="15">E38/(1+E39)^E25</f>
        <v>88.065374146543434</v>
      </c>
      <c r="F40" s="209">
        <f t="shared" si="15"/>
        <v>71.577847592925323</v>
      </c>
      <c r="G40" s="209">
        <f t="shared" si="15"/>
        <v>91.630340232807612</v>
      </c>
      <c r="H40" s="209">
        <f t="shared" si="15"/>
        <v>137.94011312609726</v>
      </c>
      <c r="I40" s="209">
        <f t="shared" si="15"/>
        <v>179.68605067293916</v>
      </c>
      <c r="J40" s="209">
        <f t="shared" si="15"/>
        <v>197.85824183781949</v>
      </c>
      <c r="K40" s="209">
        <f t="shared" si="15"/>
        <v>205.58747646545717</v>
      </c>
      <c r="L40" s="209">
        <f t="shared" si="15"/>
        <v>206.03307767391638</v>
      </c>
      <c r="M40" s="209">
        <f t="shared" si="15"/>
        <v>141.74714725684251</v>
      </c>
      <c r="O40" s="18"/>
      <c r="Q40" s="27"/>
    </row>
    <row r="41" spans="2:26" ht="15.6" thickTop="1" thickBot="1" x14ac:dyDescent="0.35">
      <c r="O41" s="108" t="s">
        <v>41</v>
      </c>
      <c r="P41" s="109"/>
      <c r="Q41" s="110">
        <f>Q38*Q28+Q39*Q32</f>
        <v>0.14267574835144858</v>
      </c>
    </row>
    <row r="42" spans="2:26" ht="15" thickTop="1" x14ac:dyDescent="0.3">
      <c r="D42" s="9" t="s">
        <v>65</v>
      </c>
    </row>
    <row r="43" spans="2:26" x14ac:dyDescent="0.3">
      <c r="B43" s="115" t="s">
        <v>54</v>
      </c>
      <c r="C43" s="213">
        <f>SUM(D40:M40)</f>
        <v>1445.1149056511615</v>
      </c>
    </row>
    <row r="45" spans="2:26" ht="15" thickBot="1" x14ac:dyDescent="0.35">
      <c r="B45" s="398" t="s">
        <v>106</v>
      </c>
      <c r="C45" s="399"/>
      <c r="E45" s="143" t="s">
        <v>74</v>
      </c>
      <c r="F45" s="144"/>
      <c r="G45" s="144"/>
      <c r="H45" s="144"/>
      <c r="I45" s="144"/>
      <c r="J45" s="145"/>
      <c r="O45" s="400" t="s">
        <v>193</v>
      </c>
      <c r="P45" s="401"/>
      <c r="Q45" s="402"/>
    </row>
    <row r="46" spans="2:26" ht="4.95" customHeight="1" x14ac:dyDescent="0.3">
      <c r="B46" s="35"/>
      <c r="C46" s="36"/>
      <c r="E46" s="37"/>
      <c r="F46" s="38"/>
      <c r="G46" s="38"/>
      <c r="H46" s="38"/>
      <c r="I46" s="38"/>
      <c r="J46" s="39"/>
      <c r="O46" s="40"/>
      <c r="Q46" s="41"/>
    </row>
    <row r="47" spans="2:26" ht="15" thickBot="1" x14ac:dyDescent="0.35">
      <c r="B47" s="18" t="s">
        <v>105</v>
      </c>
      <c r="C47" s="210">
        <f>M38*(1+D11)</f>
        <v>528.41145434799807</v>
      </c>
      <c r="E47" s="214">
        <f>C50</f>
        <v>3051.0852621598424</v>
      </c>
      <c r="F47" s="42">
        <v>0.13</v>
      </c>
      <c r="G47" s="42">
        <v>0.13600000000000001</v>
      </c>
      <c r="H47" s="43">
        <v>0.14267313767936937</v>
      </c>
      <c r="I47" s="44">
        <v>0.14899999999999999</v>
      </c>
      <c r="J47" s="45">
        <v>0.1545</v>
      </c>
      <c r="O47" s="40" t="s">
        <v>75</v>
      </c>
      <c r="Q47" s="196">
        <v>321190894</v>
      </c>
    </row>
    <row r="48" spans="2:26" ht="15.6" thickTop="1" thickBot="1" x14ac:dyDescent="0.35">
      <c r="B48" s="18" t="s">
        <v>106</v>
      </c>
      <c r="C48" s="210">
        <f>C47/(D12-D11)</f>
        <v>5701.7230909658865</v>
      </c>
      <c r="E48" s="46">
        <v>0.04</v>
      </c>
      <c r="F48" s="215">
        <f t="dataTable" ref="F48:J52" dt2D="1" dtr="1" r1="D12" r2="D11"/>
        <v>3361.6778101628506</v>
      </c>
      <c r="G48" s="216">
        <v>3117.83088900046</v>
      </c>
      <c r="H48" s="217">
        <v>2880.9545666827844</v>
      </c>
      <c r="I48" s="216">
        <v>2683.9242781764051</v>
      </c>
      <c r="J48" s="218">
        <v>2530.905625894839</v>
      </c>
      <c r="O48" s="40" t="s">
        <v>76</v>
      </c>
      <c r="Q48" s="197">
        <v>8755500</v>
      </c>
    </row>
    <row r="49" spans="2:17" ht="15" thickBot="1" x14ac:dyDescent="0.35">
      <c r="B49" s="47" t="s">
        <v>107</v>
      </c>
      <c r="C49" s="227">
        <f>C48/(1+D12)^M25</f>
        <v>1605.9703565086807</v>
      </c>
      <c r="E49" s="46">
        <v>4.4999999999999998E-2</v>
      </c>
      <c r="F49" s="215">
        <v>3478.070237053274</v>
      </c>
      <c r="G49" s="216">
        <v>3215.2680196871943</v>
      </c>
      <c r="H49" s="217">
        <v>2961.7122407553484</v>
      </c>
      <c r="I49" s="216">
        <v>2752.0910688061163</v>
      </c>
      <c r="J49" s="218">
        <v>2590.086974293964</v>
      </c>
      <c r="O49" s="154" t="s">
        <v>77</v>
      </c>
      <c r="P49" s="155"/>
      <c r="Q49" s="226">
        <f>(SUM(Q47:Q48))/(10000000)</f>
        <v>32.994639399999997</v>
      </c>
    </row>
    <row r="50" spans="2:17" x14ac:dyDescent="0.3">
      <c r="B50" s="101" t="s">
        <v>19</v>
      </c>
      <c r="C50" s="228">
        <f>C49+C43</f>
        <v>3051.0852621598424</v>
      </c>
      <c r="E50" s="48">
        <v>0.05</v>
      </c>
      <c r="F50" s="219">
        <v>3609.0117173050016</v>
      </c>
      <c r="G50" s="217">
        <v>3324.035049290992</v>
      </c>
      <c r="H50" s="220">
        <v>3051.1841632169089</v>
      </c>
      <c r="I50" s="217">
        <v>2827.143393842869</v>
      </c>
      <c r="J50" s="221">
        <v>2654.9316096212351</v>
      </c>
    </row>
    <row r="51" spans="2:17" x14ac:dyDescent="0.3">
      <c r="B51" s="18" t="s">
        <v>79</v>
      </c>
      <c r="C51" s="50">
        <v>82</v>
      </c>
      <c r="E51" s="46">
        <v>5.5E-2</v>
      </c>
      <c r="F51" s="215">
        <v>3757.4120615902916</v>
      </c>
      <c r="G51" s="216">
        <v>3446.2301072409355</v>
      </c>
      <c r="H51" s="217">
        <v>3150.8612551100414</v>
      </c>
      <c r="I51" s="216">
        <v>2910.1800087771489</v>
      </c>
      <c r="J51" s="218">
        <v>2726.2932937251157</v>
      </c>
    </row>
    <row r="52" spans="2:17" x14ac:dyDescent="0.3">
      <c r="B52" s="18" t="s">
        <v>108</v>
      </c>
      <c r="C52" s="229">
        <f>'Relative Valuation'!G8</f>
        <v>1301.46</v>
      </c>
      <c r="E52" s="49">
        <v>0.06</v>
      </c>
      <c r="F52" s="222">
        <v>3927.0124550591963</v>
      </c>
      <c r="G52" s="223">
        <v>3584.5034622895582</v>
      </c>
      <c r="H52" s="224">
        <v>3262.5951159478482</v>
      </c>
      <c r="I52" s="223">
        <v>3002.546580445618</v>
      </c>
      <c r="J52" s="225">
        <v>2805.2064787923709</v>
      </c>
    </row>
    <row r="53" spans="2:17" ht="15" thickBot="1" x14ac:dyDescent="0.35">
      <c r="B53" s="18" t="s">
        <v>80</v>
      </c>
      <c r="C53" s="51">
        <v>18.89</v>
      </c>
    </row>
    <row r="54" spans="2:17" x14ac:dyDescent="0.3">
      <c r="B54" s="101" t="s">
        <v>55</v>
      </c>
      <c r="C54" s="230">
        <f>C50+C51-C52-C53</f>
        <v>1812.7352621598423</v>
      </c>
      <c r="E54" s="143" t="s">
        <v>78</v>
      </c>
      <c r="F54" s="144"/>
      <c r="G54" s="144"/>
      <c r="H54" s="144"/>
      <c r="I54" s="144"/>
      <c r="J54" s="145"/>
    </row>
    <row r="55" spans="2:17" ht="15" thickBot="1" x14ac:dyDescent="0.35">
      <c r="E55" s="214">
        <f>C59</f>
        <v>54.940296215507132</v>
      </c>
      <c r="F55" s="42">
        <v>0.13</v>
      </c>
      <c r="G55" s="44">
        <v>0.13600000000000001</v>
      </c>
      <c r="H55" s="43">
        <v>0.14267313767936937</v>
      </c>
      <c r="I55" s="44">
        <v>0.14899999999999999</v>
      </c>
      <c r="J55" s="45">
        <v>0.1545</v>
      </c>
    </row>
    <row r="56" spans="2:17" ht="15.6" thickTop="1" thickBot="1" x14ac:dyDescent="0.35">
      <c r="B56" s="392" t="s">
        <v>81</v>
      </c>
      <c r="C56" s="393"/>
      <c r="E56" s="46">
        <v>0.04</v>
      </c>
      <c r="F56" s="215">
        <f t="dataTable" ref="F56:J60" dt2D="1" dtr="1" r1="D12" r2="D11" ca="1"/>
        <v>64.35372074903934</v>
      </c>
      <c r="G56" s="216">
        <v>56.963219576827989</v>
      </c>
      <c r="H56" s="217">
        <v>49.783982990969875</v>
      </c>
      <c r="I56" s="216">
        <v>43.812398149027963</v>
      </c>
      <c r="J56" s="218">
        <v>39.174715935669205</v>
      </c>
    </row>
    <row r="57" spans="2:17" x14ac:dyDescent="0.3">
      <c r="B57" s="18"/>
      <c r="C57" s="52"/>
      <c r="E57" s="46">
        <v>4.4999999999999998E-2</v>
      </c>
      <c r="F57" s="215">
        <v>67.881337022682374</v>
      </c>
      <c r="G57" s="216">
        <v>59.916339612646119</v>
      </c>
      <c r="H57" s="217">
        <v>52.231582829644395</v>
      </c>
      <c r="I57" s="216">
        <v>45.878394076527357</v>
      </c>
      <c r="J57" s="218">
        <v>40.968381496964142</v>
      </c>
    </row>
    <row r="58" spans="2:17" x14ac:dyDescent="0.3">
      <c r="B58" s="53" t="s">
        <v>82</v>
      </c>
      <c r="C58" s="231">
        <f>Q49</f>
        <v>32.994639399999997</v>
      </c>
      <c r="E58" s="48">
        <v>0.05</v>
      </c>
      <c r="F58" s="219">
        <v>71.849905330530817</v>
      </c>
      <c r="G58" s="217">
        <v>63.212845699140821</v>
      </c>
      <c r="H58" s="220">
        <v>54.943293704155742</v>
      </c>
      <c r="I58" s="217">
        <v>48.153076461349933</v>
      </c>
      <c r="J58" s="221">
        <v>42.933689695703571</v>
      </c>
    </row>
    <row r="59" spans="2:17" x14ac:dyDescent="0.3">
      <c r="B59" s="102" t="s">
        <v>83</v>
      </c>
      <c r="C59" s="232">
        <f>C54/C58</f>
        <v>54.940296215507132</v>
      </c>
      <c r="E59" s="46">
        <v>5.5E-2</v>
      </c>
      <c r="F59" s="215">
        <v>76.347616079425677</v>
      </c>
      <c r="G59" s="216">
        <v>66.916327845696529</v>
      </c>
      <c r="H59" s="217">
        <v>57.964302380284281</v>
      </c>
      <c r="I59" s="216">
        <v>50.669746333919591</v>
      </c>
      <c r="J59" s="218">
        <v>45.0965163063766</v>
      </c>
    </row>
    <row r="60" spans="2:17" x14ac:dyDescent="0.3">
      <c r="B60" s="18" t="s">
        <v>84</v>
      </c>
      <c r="C60" s="198">
        <v>222</v>
      </c>
      <c r="E60" s="49">
        <v>0.06</v>
      </c>
      <c r="F60" s="222">
        <v>81.487856935305572</v>
      </c>
      <c r="G60" s="223">
        <v>71.107110274693852</v>
      </c>
      <c r="H60" s="224">
        <v>61.350727050159797</v>
      </c>
      <c r="I60" s="223">
        <v>53.46918810228361</v>
      </c>
      <c r="J60" s="225">
        <v>47.488213457861612</v>
      </c>
    </row>
    <row r="61" spans="2:17" ht="5.4" customHeight="1" x14ac:dyDescent="0.3">
      <c r="B61" s="18"/>
      <c r="C61" s="54"/>
    </row>
    <row r="62" spans="2:17" x14ac:dyDescent="0.3">
      <c r="B62" s="103" t="s">
        <v>85</v>
      </c>
      <c r="C62" s="233" t="str">
        <f>IF(C60&gt;C59,"Overvalued","Undervalued")</f>
        <v>Overvalued</v>
      </c>
    </row>
    <row r="63" spans="2:17" x14ac:dyDescent="0.3">
      <c r="B63" s="104" t="s">
        <v>86</v>
      </c>
      <c r="C63" s="105">
        <f>C60/C59-1</f>
        <v>3.0407499648198026</v>
      </c>
    </row>
    <row r="65" spans="2:23" ht="5.4" customHeight="1" thickBot="1" x14ac:dyDescent="0.35"/>
    <row r="66" spans="2:23" ht="15" thickBot="1" x14ac:dyDescent="0.35">
      <c r="B66" s="106" t="s">
        <v>87</v>
      </c>
      <c r="C66" s="107"/>
    </row>
    <row r="67" spans="2:23" x14ac:dyDescent="0.3">
      <c r="B67" s="55" t="s">
        <v>88</v>
      </c>
      <c r="C67" s="234">
        <f>C54</f>
        <v>1812.7352621598423</v>
      </c>
    </row>
    <row r="68" spans="2:23" x14ac:dyDescent="0.3">
      <c r="B68" s="55" t="s">
        <v>89</v>
      </c>
      <c r="C68" s="199">
        <v>7158.8</v>
      </c>
    </row>
    <row r="69" spans="2:23" ht="15" thickBot="1" x14ac:dyDescent="0.35">
      <c r="B69" s="56" t="s">
        <v>90</v>
      </c>
      <c r="C69" s="57">
        <f>C67/C68</f>
        <v>0.25321775467394564</v>
      </c>
    </row>
    <row r="71" spans="2:23" x14ac:dyDescent="0.3">
      <c r="B71" s="1"/>
      <c r="C71" s="1"/>
      <c r="D71" s="1"/>
      <c r="E71" s="1"/>
      <c r="F71" s="1"/>
      <c r="G71" s="1"/>
      <c r="H71" s="1"/>
      <c r="I71" s="1"/>
      <c r="J71" s="1"/>
      <c r="K71" s="1"/>
      <c r="L71" s="1"/>
      <c r="M71" s="1"/>
      <c r="N71" s="1"/>
      <c r="O71" s="1"/>
      <c r="P71" s="1"/>
      <c r="Q71" s="1"/>
      <c r="R71" s="1"/>
      <c r="S71" s="1"/>
      <c r="T71" s="1"/>
      <c r="U71" s="1"/>
      <c r="V71" s="1"/>
      <c r="W71" s="1"/>
    </row>
    <row r="72" spans="2:23" x14ac:dyDescent="0.3">
      <c r="B72" s="1"/>
      <c r="C72" s="1"/>
      <c r="D72" s="1"/>
      <c r="E72" s="1"/>
      <c r="F72" s="1"/>
      <c r="G72" s="1"/>
      <c r="H72" s="1"/>
      <c r="I72" s="1"/>
      <c r="J72" s="1"/>
      <c r="K72" s="1"/>
      <c r="L72" s="1"/>
      <c r="M72" s="1"/>
      <c r="N72" s="1"/>
      <c r="O72" s="1"/>
      <c r="P72" s="1"/>
      <c r="Q72" s="1"/>
      <c r="R72" s="1"/>
      <c r="S72" s="1"/>
      <c r="T72" s="1"/>
      <c r="U72" s="1"/>
      <c r="V72" s="1"/>
      <c r="W72" s="1"/>
    </row>
    <row r="73" spans="2:23" x14ac:dyDescent="0.3">
      <c r="B73" s="1"/>
      <c r="C73" s="1"/>
      <c r="D73" s="1"/>
      <c r="E73" s="1"/>
      <c r="F73" s="1"/>
      <c r="G73" s="1"/>
      <c r="H73" s="1"/>
      <c r="I73" s="1"/>
      <c r="J73" s="1"/>
      <c r="K73" s="1"/>
      <c r="L73" s="1"/>
      <c r="M73" s="1"/>
      <c r="N73" s="1"/>
      <c r="O73" s="1"/>
      <c r="P73" s="1"/>
      <c r="Q73" s="1"/>
      <c r="R73" s="1"/>
      <c r="S73" s="1"/>
      <c r="T73" s="1"/>
      <c r="U73" s="1"/>
      <c r="V73" s="1"/>
      <c r="W73" s="1"/>
    </row>
    <row r="74" spans="2:23" x14ac:dyDescent="0.3">
      <c r="B74" s="1"/>
      <c r="C74" s="1"/>
      <c r="D74" s="1"/>
      <c r="E74" s="1"/>
      <c r="F74" s="1"/>
      <c r="G74" s="1"/>
      <c r="H74" s="1"/>
      <c r="I74" s="1"/>
      <c r="J74" s="1"/>
      <c r="K74" s="1"/>
      <c r="L74" s="1"/>
      <c r="M74" s="1"/>
      <c r="N74" s="1"/>
      <c r="O74" s="1"/>
      <c r="P74" s="1"/>
      <c r="Q74" s="1"/>
      <c r="R74" s="1"/>
      <c r="S74" s="1"/>
      <c r="T74" s="1"/>
      <c r="U74" s="1"/>
      <c r="V74" s="1"/>
      <c r="W74" s="1"/>
    </row>
    <row r="75" spans="2:23" x14ac:dyDescent="0.3">
      <c r="B75" s="1"/>
      <c r="C75" s="1"/>
      <c r="D75" s="1"/>
      <c r="E75" s="1"/>
      <c r="F75" s="1"/>
      <c r="G75" s="1"/>
      <c r="H75" s="1"/>
      <c r="I75" s="1"/>
      <c r="J75" s="1"/>
      <c r="K75" s="1"/>
      <c r="L75" s="1"/>
      <c r="M75" s="1"/>
      <c r="N75" s="1"/>
      <c r="O75" s="1"/>
      <c r="P75" s="1"/>
      <c r="Q75" s="1"/>
      <c r="R75" s="1"/>
      <c r="S75" s="1"/>
      <c r="T75" s="1"/>
      <c r="U75" s="1"/>
      <c r="V75" s="1"/>
      <c r="W75" s="1"/>
    </row>
    <row r="76" spans="2:23" x14ac:dyDescent="0.3">
      <c r="B76" s="1"/>
      <c r="C76" s="1"/>
      <c r="D76" s="1"/>
      <c r="E76" s="1"/>
      <c r="F76" s="1"/>
      <c r="G76" s="1"/>
      <c r="H76" s="1"/>
      <c r="I76" s="1"/>
      <c r="J76" s="1"/>
      <c r="K76" s="1"/>
      <c r="L76" s="1"/>
      <c r="M76" s="1"/>
      <c r="N76" s="1"/>
      <c r="O76" s="1"/>
      <c r="P76" s="1"/>
      <c r="Q76" s="1"/>
      <c r="R76" s="1"/>
      <c r="S76" s="1"/>
      <c r="T76" s="1"/>
      <c r="U76" s="1"/>
      <c r="V76" s="1"/>
      <c r="W76" s="1"/>
    </row>
    <row r="77" spans="2:23" x14ac:dyDescent="0.3">
      <c r="B77" s="1"/>
      <c r="C77" s="1"/>
      <c r="D77" s="1"/>
      <c r="E77" s="1"/>
      <c r="F77" s="1"/>
      <c r="G77" s="1"/>
      <c r="H77" s="1"/>
      <c r="I77" s="1"/>
      <c r="J77" s="1"/>
      <c r="K77" s="1"/>
      <c r="L77" s="1"/>
      <c r="M77" s="1"/>
      <c r="N77" s="1"/>
      <c r="O77" s="1"/>
      <c r="P77" s="1"/>
      <c r="Q77" s="1"/>
      <c r="R77" s="1"/>
      <c r="S77" s="1"/>
      <c r="T77" s="1"/>
      <c r="U77" s="1"/>
      <c r="V77" s="1"/>
      <c r="W77" s="1"/>
    </row>
    <row r="78" spans="2:23" x14ac:dyDescent="0.3">
      <c r="B78" s="1"/>
      <c r="C78" s="1"/>
      <c r="D78" s="1"/>
      <c r="E78" s="1"/>
      <c r="F78" s="1"/>
      <c r="G78" s="1"/>
      <c r="H78" s="1"/>
      <c r="I78" s="1"/>
      <c r="J78" s="1"/>
      <c r="K78" s="1"/>
      <c r="L78" s="1"/>
      <c r="M78" s="1"/>
      <c r="N78" s="1"/>
      <c r="O78" s="1"/>
      <c r="P78" s="1"/>
      <c r="Q78" s="1"/>
      <c r="R78" s="1"/>
      <c r="S78" s="1"/>
      <c r="T78" s="1"/>
      <c r="U78" s="1"/>
      <c r="V78" s="1"/>
      <c r="W78" s="1"/>
    </row>
    <row r="79" spans="2:23" x14ac:dyDescent="0.3">
      <c r="B79" s="1"/>
      <c r="C79" s="1"/>
      <c r="D79" s="1"/>
      <c r="E79" s="1"/>
      <c r="F79" s="1"/>
      <c r="G79" s="1"/>
      <c r="H79" s="1"/>
      <c r="I79" s="1"/>
      <c r="J79" s="1"/>
      <c r="K79" s="1"/>
      <c r="L79" s="1"/>
      <c r="M79" s="1"/>
      <c r="N79" s="1"/>
      <c r="O79" s="1"/>
      <c r="P79" s="1"/>
      <c r="Q79" s="1"/>
      <c r="R79" s="1"/>
      <c r="S79" s="1"/>
      <c r="T79" s="1"/>
      <c r="U79" s="1"/>
      <c r="V79" s="1"/>
      <c r="W79" s="1"/>
    </row>
    <row r="80" spans="2:23" x14ac:dyDescent="0.3">
      <c r="B80" s="1"/>
      <c r="C80" s="1"/>
      <c r="D80" s="1"/>
      <c r="E80" s="1"/>
      <c r="F80" s="1"/>
      <c r="G80" s="1"/>
      <c r="H80" s="1"/>
      <c r="I80" s="1"/>
      <c r="J80" s="1"/>
      <c r="K80" s="1"/>
      <c r="L80" s="1"/>
      <c r="M80" s="1"/>
      <c r="N80" s="1"/>
      <c r="O80" s="1"/>
      <c r="P80" s="1"/>
      <c r="Q80" s="1"/>
      <c r="R80" s="1"/>
      <c r="S80" s="1"/>
      <c r="T80" s="1"/>
      <c r="U80" s="1"/>
      <c r="V80" s="1"/>
      <c r="W80" s="1"/>
    </row>
    <row r="81" spans="2:23" x14ac:dyDescent="0.3">
      <c r="B81" s="1"/>
      <c r="C81" s="1"/>
      <c r="D81" s="1"/>
      <c r="E81" s="1"/>
      <c r="F81" s="1"/>
      <c r="G81" s="1"/>
      <c r="H81" s="1"/>
      <c r="I81" s="1"/>
      <c r="J81" s="1"/>
      <c r="K81" s="1"/>
      <c r="L81" s="1"/>
      <c r="M81" s="1"/>
      <c r="N81" s="1"/>
      <c r="O81" s="1"/>
      <c r="P81" s="1"/>
      <c r="Q81" s="1"/>
      <c r="R81" s="1"/>
      <c r="S81" s="1"/>
      <c r="T81" s="1"/>
      <c r="U81" s="1"/>
      <c r="V81" s="1"/>
      <c r="W81" s="1"/>
    </row>
    <row r="82" spans="2:23" x14ac:dyDescent="0.3">
      <c r="B82" s="1"/>
      <c r="C82" s="1"/>
      <c r="D82" s="1"/>
      <c r="E82" s="1"/>
      <c r="F82" s="1"/>
      <c r="G82" s="1"/>
      <c r="H82" s="1"/>
      <c r="I82" s="1"/>
      <c r="J82" s="1"/>
      <c r="K82" s="1"/>
      <c r="L82" s="1"/>
      <c r="M82" s="1"/>
      <c r="N82" s="1"/>
      <c r="O82" s="1"/>
      <c r="P82" s="1"/>
      <c r="Q82" s="1"/>
      <c r="R82" s="1"/>
      <c r="S82" s="1"/>
      <c r="T82" s="1"/>
      <c r="U82" s="1"/>
      <c r="V82" s="1"/>
      <c r="W82" s="1"/>
    </row>
    <row r="83" spans="2:23" x14ac:dyDescent="0.3">
      <c r="B83" s="1"/>
      <c r="C83" s="1"/>
      <c r="D83" s="1"/>
      <c r="E83" s="1"/>
      <c r="F83" s="1"/>
      <c r="G83" s="1"/>
      <c r="H83" s="1"/>
      <c r="I83" s="1"/>
      <c r="J83" s="1"/>
      <c r="K83" s="1"/>
      <c r="L83" s="1"/>
      <c r="M83" s="1"/>
      <c r="N83" s="1"/>
      <c r="O83" s="1"/>
      <c r="P83" s="1"/>
      <c r="Q83" s="1"/>
      <c r="R83" s="1"/>
      <c r="S83" s="1"/>
      <c r="T83" s="1"/>
      <c r="U83" s="1"/>
      <c r="V83" s="1"/>
      <c r="W83" s="1"/>
    </row>
    <row r="84" spans="2:23" x14ac:dyDescent="0.3">
      <c r="B84" s="1"/>
      <c r="C84" s="1"/>
      <c r="D84" s="1"/>
      <c r="E84" s="1"/>
      <c r="F84" s="1"/>
      <c r="G84" s="1"/>
      <c r="H84" s="1"/>
      <c r="I84" s="1"/>
      <c r="J84" s="1"/>
      <c r="K84" s="1"/>
      <c r="L84" s="1"/>
      <c r="M84" s="1"/>
      <c r="N84" s="1"/>
      <c r="O84" s="1"/>
      <c r="P84" s="1"/>
      <c r="Q84" s="1"/>
      <c r="R84" s="1"/>
      <c r="S84" s="1"/>
      <c r="T84" s="1"/>
      <c r="U84" s="1"/>
      <c r="V84" s="1"/>
      <c r="W84" s="1"/>
    </row>
    <row r="85" spans="2:23" x14ac:dyDescent="0.3">
      <c r="B85" s="1"/>
      <c r="C85" s="1"/>
      <c r="D85" s="1"/>
      <c r="E85" s="1"/>
      <c r="F85" s="1"/>
      <c r="G85" s="1"/>
      <c r="H85" s="1"/>
      <c r="I85" s="1"/>
      <c r="J85" s="1"/>
      <c r="K85" s="1"/>
      <c r="L85" s="1"/>
      <c r="M85" s="1"/>
      <c r="N85" s="1"/>
      <c r="O85" s="1"/>
      <c r="P85" s="1"/>
      <c r="Q85" s="1"/>
      <c r="R85" s="1"/>
      <c r="S85" s="1"/>
      <c r="T85" s="1"/>
      <c r="U85" s="1"/>
      <c r="V85" s="1"/>
      <c r="W85" s="1"/>
    </row>
  </sheetData>
  <sheetProtection algorithmName="SHA-512" hashValue="ITtD0J4gxAMMHzi5aCqaLbhH26upTeZ1edS7rZB3IOmpP44OihTeG4spl1RmuOqm+b7V7Lrn0gBGwdwkqJJjdg==" saltValue="z4YoZODcSopx+ct5G+IMfg==" spinCount="100000" sheet="1" objects="1" scenarios="1"/>
  <mergeCells count="5">
    <mergeCell ref="B56:C56"/>
    <mergeCell ref="B2:Q2"/>
    <mergeCell ref="D22:M22"/>
    <mergeCell ref="B45:C45"/>
    <mergeCell ref="O45:Q45"/>
  </mergeCells>
  <pageMargins left="0.7" right="0.7" top="0.75" bottom="0.75" header="0.3" footer="0.3"/>
  <pageSetup scale="57" fitToHeight="0" orientation="landscape" r:id="rId1"/>
  <colBreaks count="1" manualBreakCount="1">
    <brk id="18" max="1048575" man="1"/>
  </colBreaks>
  <ignoredErrors>
    <ignoredError sqref="E25:M25 C26:L27 C30:L30 M26:M27 C28 D28:M28 C35:D35 C31:D31 C32 C33 C38 C36 C37 E35:L35 E31:M33 E36:M37 M35 D36:D37 C34 C18:M19 Q35:Q36" unlocked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31FE6-E416-4AA3-ADDB-BDCC35F3F8FF}">
  <sheetPr>
    <pageSetUpPr fitToPage="1"/>
  </sheetPr>
  <dimension ref="B2:AA87"/>
  <sheetViews>
    <sheetView showGridLines="0" topLeftCell="E39" zoomScale="118" zoomScaleNormal="81" zoomScaleSheetLayoutView="85" workbookViewId="0">
      <selection activeCell="O54" sqref="O54"/>
    </sheetView>
  </sheetViews>
  <sheetFormatPr defaultRowHeight="14.4" x14ac:dyDescent="0.3"/>
  <cols>
    <col min="1" max="1" width="2.33203125" style="9" customWidth="1"/>
    <col min="2" max="2" width="33.44140625" style="9" customWidth="1"/>
    <col min="3" max="3" width="16.21875" style="9" bestFit="1" customWidth="1"/>
    <col min="4" max="13" width="11.21875" style="9" customWidth="1"/>
    <col min="14" max="14" width="8.88671875" style="9"/>
    <col min="15" max="15" width="12.88671875" style="9" customWidth="1"/>
    <col min="16" max="16" width="15.33203125" style="9" customWidth="1"/>
    <col min="17" max="17" width="11.6640625" style="9" bestFit="1" customWidth="1"/>
    <col min="18" max="19" width="8.88671875" style="9"/>
    <col min="20" max="20" width="17.5546875" style="9" bestFit="1" customWidth="1"/>
    <col min="21" max="21" width="6.88671875" style="9" bestFit="1" customWidth="1"/>
    <col min="22" max="22" width="12" style="9" bestFit="1" customWidth="1"/>
    <col min="23" max="25" width="9" style="9" bestFit="1" customWidth="1"/>
    <col min="26" max="16384" width="8.88671875" style="9"/>
  </cols>
  <sheetData>
    <row r="2" spans="2:17" ht="23.4" x14ac:dyDescent="0.45">
      <c r="B2" s="394" t="s">
        <v>57</v>
      </c>
      <c r="C2" s="394"/>
      <c r="D2" s="394"/>
      <c r="E2" s="394"/>
      <c r="F2" s="394"/>
      <c r="G2" s="394"/>
      <c r="H2" s="394"/>
      <c r="I2" s="394"/>
      <c r="J2" s="394"/>
      <c r="K2" s="394"/>
      <c r="L2" s="394"/>
      <c r="M2" s="394"/>
      <c r="N2" s="394"/>
      <c r="O2" s="394"/>
      <c r="P2" s="394"/>
      <c r="Q2" s="394"/>
    </row>
    <row r="3" spans="2:17" ht="6.6" customHeight="1" x14ac:dyDescent="0.3"/>
    <row r="4" spans="2:17" ht="21" x14ac:dyDescent="0.4">
      <c r="B4" s="10" t="s">
        <v>109</v>
      </c>
    </row>
    <row r="5" spans="2:17" x14ac:dyDescent="0.3">
      <c r="B5" s="11" t="s">
        <v>111</v>
      </c>
    </row>
    <row r="6" spans="2:17" ht="15" thickBot="1" x14ac:dyDescent="0.35">
      <c r="B6" s="111"/>
      <c r="C6" s="111"/>
      <c r="D6" s="111"/>
      <c r="E6" s="111"/>
      <c r="F6" s="111"/>
      <c r="G6" s="111"/>
      <c r="H6" s="111"/>
      <c r="I6" s="111"/>
      <c r="J6" s="111"/>
      <c r="K6" s="111"/>
      <c r="L6" s="111"/>
      <c r="M6" s="111"/>
      <c r="N6" s="111"/>
      <c r="O6" s="111"/>
      <c r="P6" s="111"/>
      <c r="Q6" s="111"/>
    </row>
    <row r="7" spans="2:17" ht="15" thickTop="1" x14ac:dyDescent="0.3"/>
    <row r="8" spans="2:17" x14ac:dyDescent="0.3">
      <c r="B8" s="89" t="s">
        <v>188</v>
      </c>
      <c r="C8" s="90" t="s">
        <v>187</v>
      </c>
    </row>
    <row r="9" spans="2:17" x14ac:dyDescent="0.3">
      <c r="B9" s="12"/>
      <c r="C9" s="13"/>
    </row>
    <row r="10" spans="2:17" x14ac:dyDescent="0.3">
      <c r="B10" s="30" t="s">
        <v>40</v>
      </c>
      <c r="C10" s="91" t="s">
        <v>92</v>
      </c>
      <c r="D10" s="92">
        <v>46106</v>
      </c>
      <c r="E10" s="92">
        <v>46471</v>
      </c>
      <c r="F10" s="92">
        <v>46836</v>
      </c>
      <c r="G10" s="92">
        <v>47201</v>
      </c>
      <c r="H10" s="92">
        <v>47566</v>
      </c>
      <c r="I10" s="92">
        <v>47931</v>
      </c>
      <c r="J10" s="92">
        <v>48296</v>
      </c>
      <c r="K10" s="92">
        <v>48661</v>
      </c>
      <c r="L10" s="92">
        <v>49026</v>
      </c>
      <c r="M10" s="92">
        <v>49391</v>
      </c>
    </row>
    <row r="11" spans="2:17" x14ac:dyDescent="0.3">
      <c r="B11" s="1" t="s">
        <v>104</v>
      </c>
      <c r="C11" s="1"/>
      <c r="D11" s="194">
        <v>0.05</v>
      </c>
      <c r="E11" s="67"/>
      <c r="F11" s="67"/>
      <c r="G11" s="67"/>
      <c r="H11" s="67"/>
      <c r="I11" s="67"/>
      <c r="J11" s="67"/>
      <c r="K11" s="67"/>
      <c r="L11" s="67"/>
      <c r="M11" s="67"/>
    </row>
    <row r="12" spans="2:17" x14ac:dyDescent="0.3">
      <c r="B12" s="38" t="s">
        <v>41</v>
      </c>
      <c r="D12" s="236">
        <f>Q41</f>
        <v>0.14772213088160951</v>
      </c>
      <c r="E12" s="67"/>
      <c r="F12" s="67"/>
      <c r="G12" s="67"/>
      <c r="H12" s="67"/>
      <c r="I12" s="67"/>
      <c r="J12" s="67"/>
      <c r="K12" s="67"/>
      <c r="L12" s="67"/>
      <c r="M12" s="67"/>
    </row>
    <row r="13" spans="2:17" x14ac:dyDescent="0.3">
      <c r="B13" s="63" t="s">
        <v>98</v>
      </c>
      <c r="C13" s="62"/>
      <c r="D13" s="64">
        <v>0.12</v>
      </c>
      <c r="E13" s="64">
        <v>0.14000000000000001</v>
      </c>
      <c r="F13" s="64">
        <v>0.16</v>
      </c>
      <c r="G13" s="64">
        <v>0.15</v>
      </c>
      <c r="H13" s="64">
        <v>0.14000000000000001</v>
      </c>
      <c r="I13" s="64">
        <v>0.12</v>
      </c>
      <c r="J13" s="64">
        <v>0.1</v>
      </c>
      <c r="K13" s="64">
        <v>0.09</v>
      </c>
      <c r="L13" s="64">
        <v>7.4999999999999997E-2</v>
      </c>
      <c r="M13" s="64">
        <v>0.06</v>
      </c>
    </row>
    <row r="14" spans="2:17" x14ac:dyDescent="0.3">
      <c r="B14" s="9" t="s">
        <v>97</v>
      </c>
      <c r="D14" s="65">
        <v>0.14099999999999999</v>
      </c>
      <c r="E14" s="65">
        <v>0.155</v>
      </c>
      <c r="F14" s="65">
        <v>0.17</v>
      </c>
      <c r="G14" s="65">
        <v>0.185</v>
      </c>
      <c r="H14" s="65">
        <v>0.192</v>
      </c>
      <c r="I14" s="65">
        <v>0.19500000000000001</v>
      </c>
      <c r="J14" s="65">
        <v>0.2</v>
      </c>
      <c r="K14" s="65">
        <v>0.2</v>
      </c>
      <c r="L14" s="65">
        <v>0.2</v>
      </c>
      <c r="M14" s="65">
        <v>0.2</v>
      </c>
    </row>
    <row r="15" spans="2:17" x14ac:dyDescent="0.3">
      <c r="B15" s="9" t="s">
        <v>99</v>
      </c>
      <c r="D15" s="65">
        <v>0.13</v>
      </c>
      <c r="E15" s="65">
        <v>0.128</v>
      </c>
      <c r="F15" s="65">
        <v>0.125</v>
      </c>
      <c r="G15" s="65">
        <v>0.122</v>
      </c>
      <c r="H15" s="65">
        <v>0.12</v>
      </c>
      <c r="I15" s="65">
        <v>0.11799999999999999</v>
      </c>
      <c r="J15" s="65">
        <v>0.115</v>
      </c>
      <c r="K15" s="65">
        <v>0.112</v>
      </c>
      <c r="L15" s="65">
        <v>0.11</v>
      </c>
      <c r="M15" s="65">
        <v>0.105</v>
      </c>
    </row>
    <row r="16" spans="2:17" x14ac:dyDescent="0.3">
      <c r="B16" s="9" t="s">
        <v>100</v>
      </c>
      <c r="C16" s="29"/>
      <c r="D16" s="65">
        <v>0.11</v>
      </c>
      <c r="E16" s="65">
        <v>0.125</v>
      </c>
      <c r="F16" s="65">
        <v>0.13500000000000001</v>
      </c>
      <c r="G16" s="65">
        <v>0.13500000000000001</v>
      </c>
      <c r="H16" s="65">
        <v>0.13</v>
      </c>
      <c r="I16" s="65">
        <v>0.12</v>
      </c>
      <c r="J16" s="65">
        <v>0.115</v>
      </c>
      <c r="K16" s="65">
        <v>0.11</v>
      </c>
      <c r="L16" s="65">
        <v>0.105</v>
      </c>
      <c r="M16" s="65">
        <v>0.105</v>
      </c>
    </row>
    <row r="17" spans="2:27" x14ac:dyDescent="0.3">
      <c r="B17" s="9" t="s">
        <v>102</v>
      </c>
      <c r="C17" s="66">
        <v>0.04</v>
      </c>
      <c r="D17" s="66">
        <v>0.04</v>
      </c>
      <c r="E17" s="66">
        <v>0.04</v>
      </c>
      <c r="F17" s="66">
        <v>0.04</v>
      </c>
      <c r="G17" s="66">
        <v>0.04</v>
      </c>
      <c r="H17" s="66">
        <v>0.04</v>
      </c>
      <c r="I17" s="66">
        <v>0.04</v>
      </c>
      <c r="J17" s="66">
        <v>0.04</v>
      </c>
      <c r="K17" s="66">
        <v>0.04</v>
      </c>
      <c r="L17" s="66">
        <v>0.04</v>
      </c>
      <c r="M17" s="66">
        <v>0.04</v>
      </c>
      <c r="P17" s="67"/>
    </row>
    <row r="18" spans="2:27" x14ac:dyDescent="0.3">
      <c r="B18" s="9" t="s">
        <v>103</v>
      </c>
      <c r="C18" s="201">
        <f>C17*C26</f>
        <v>209.64000000000001</v>
      </c>
      <c r="D18" s="201">
        <f>D26*D17</f>
        <v>234.79680000000005</v>
      </c>
      <c r="E18" s="201">
        <f t="shared" ref="E18:M18" si="0">E26*E17</f>
        <v>267.66835200000008</v>
      </c>
      <c r="F18" s="201">
        <f t="shared" si="0"/>
        <v>310.4952883200001</v>
      </c>
      <c r="G18" s="201">
        <f t="shared" si="0"/>
        <v>357.06958156800005</v>
      </c>
      <c r="H18" s="201">
        <f t="shared" si="0"/>
        <v>407.05932298752015</v>
      </c>
      <c r="I18" s="201">
        <f t="shared" si="0"/>
        <v>455.90644174602261</v>
      </c>
      <c r="J18" s="201">
        <f t="shared" si="0"/>
        <v>501.4970859206249</v>
      </c>
      <c r="K18" s="201">
        <f t="shared" si="0"/>
        <v>546.63182365348121</v>
      </c>
      <c r="L18" s="201">
        <f t="shared" si="0"/>
        <v>587.62921042749224</v>
      </c>
      <c r="M18" s="201">
        <f t="shared" si="0"/>
        <v>622.88696305314181</v>
      </c>
    </row>
    <row r="19" spans="2:27" x14ac:dyDescent="0.3">
      <c r="B19" s="9" t="s">
        <v>101</v>
      </c>
      <c r="D19" s="201">
        <f>D18-C18</f>
        <v>25.156800000000032</v>
      </c>
      <c r="E19" s="201">
        <f t="shared" ref="E19:M19" si="1">E18-D18</f>
        <v>32.871552000000037</v>
      </c>
      <c r="F19" s="201">
        <f t="shared" si="1"/>
        <v>42.826936320000016</v>
      </c>
      <c r="G19" s="201">
        <f t="shared" si="1"/>
        <v>46.574293247999947</v>
      </c>
      <c r="H19" s="201">
        <f t="shared" si="1"/>
        <v>49.989741419520101</v>
      </c>
      <c r="I19" s="201">
        <f t="shared" si="1"/>
        <v>48.847118758502461</v>
      </c>
      <c r="J19" s="201">
        <f t="shared" si="1"/>
        <v>45.590644174602289</v>
      </c>
      <c r="K19" s="201">
        <f t="shared" si="1"/>
        <v>45.134737732856308</v>
      </c>
      <c r="L19" s="201">
        <f t="shared" si="1"/>
        <v>40.997386774011034</v>
      </c>
      <c r="M19" s="201">
        <f t="shared" si="1"/>
        <v>35.257752625649573</v>
      </c>
    </row>
    <row r="20" spans="2:27" x14ac:dyDescent="0.3">
      <c r="D20" s="69"/>
      <c r="E20" s="69"/>
      <c r="F20" s="69"/>
      <c r="G20" s="69"/>
      <c r="H20" s="69"/>
      <c r="I20" s="69"/>
      <c r="J20" s="69"/>
      <c r="K20" s="69"/>
      <c r="L20" s="69"/>
      <c r="M20" s="69"/>
    </row>
    <row r="21" spans="2:27" x14ac:dyDescent="0.3">
      <c r="B21" s="14" t="s">
        <v>58</v>
      </c>
    </row>
    <row r="22" spans="2:27" x14ac:dyDescent="0.3">
      <c r="B22" s="93"/>
      <c r="C22" s="94" t="s">
        <v>42</v>
      </c>
      <c r="D22" s="395" t="s">
        <v>43</v>
      </c>
      <c r="E22" s="396"/>
      <c r="F22" s="396"/>
      <c r="G22" s="396"/>
      <c r="H22" s="396"/>
      <c r="I22" s="396"/>
      <c r="J22" s="396"/>
      <c r="K22" s="396"/>
      <c r="L22" s="396"/>
      <c r="M22" s="397"/>
      <c r="O22" s="119" t="s">
        <v>59</v>
      </c>
      <c r="P22" s="119"/>
      <c r="Q22" s="119"/>
    </row>
    <row r="23" spans="2:27" x14ac:dyDescent="0.3">
      <c r="B23" s="95" t="s">
        <v>44</v>
      </c>
      <c r="C23" s="96" t="s">
        <v>92</v>
      </c>
      <c r="D23" s="97">
        <v>46106</v>
      </c>
      <c r="E23" s="98">
        <v>46471</v>
      </c>
      <c r="F23" s="98">
        <v>46836</v>
      </c>
      <c r="G23" s="98">
        <v>47201</v>
      </c>
      <c r="H23" s="98">
        <v>47566</v>
      </c>
      <c r="I23" s="98">
        <v>47931</v>
      </c>
      <c r="J23" s="98">
        <v>48296</v>
      </c>
      <c r="K23" s="98">
        <v>48661</v>
      </c>
      <c r="L23" s="98">
        <v>49026</v>
      </c>
      <c r="M23" s="99">
        <v>49391</v>
      </c>
      <c r="O23" s="15" t="s">
        <v>60</v>
      </c>
      <c r="P23" s="16"/>
      <c r="Q23" s="17"/>
    </row>
    <row r="24" spans="2:27" x14ac:dyDescent="0.3">
      <c r="O24" s="18" t="s">
        <v>61</v>
      </c>
      <c r="Q24" s="19">
        <v>7.0000000000000007E-2</v>
      </c>
    </row>
    <row r="25" spans="2:27" x14ac:dyDescent="0.3">
      <c r="B25" s="20" t="s">
        <v>45</v>
      </c>
      <c r="C25" s="21">
        <v>0</v>
      </c>
      <c r="D25" s="22">
        <v>0.5</v>
      </c>
      <c r="E25" s="202">
        <f t="shared" ref="E25:M25" si="2">D25+1</f>
        <v>1.5</v>
      </c>
      <c r="F25" s="202">
        <f t="shared" si="2"/>
        <v>2.5</v>
      </c>
      <c r="G25" s="202">
        <f t="shared" si="2"/>
        <v>3.5</v>
      </c>
      <c r="H25" s="202">
        <f t="shared" si="2"/>
        <v>4.5</v>
      </c>
      <c r="I25" s="202">
        <f t="shared" si="2"/>
        <v>5.5</v>
      </c>
      <c r="J25" s="202">
        <f t="shared" si="2"/>
        <v>6.5</v>
      </c>
      <c r="K25" s="202">
        <f t="shared" si="2"/>
        <v>7.5</v>
      </c>
      <c r="L25" s="202">
        <f t="shared" si="2"/>
        <v>8.5</v>
      </c>
      <c r="M25" s="202">
        <f t="shared" si="2"/>
        <v>9.5</v>
      </c>
      <c r="O25" s="18" t="s">
        <v>62</v>
      </c>
      <c r="Q25" s="19">
        <v>7.0800000000000002E-2</v>
      </c>
      <c r="S25" s="1"/>
      <c r="T25" s="1"/>
      <c r="U25" s="1"/>
      <c r="V25" s="1"/>
      <c r="W25" s="1"/>
      <c r="X25" s="1"/>
      <c r="Y25" s="1"/>
      <c r="Z25" s="1"/>
      <c r="AA25" s="1"/>
    </row>
    <row r="26" spans="2:27" x14ac:dyDescent="0.3">
      <c r="B26" s="9" t="s">
        <v>8</v>
      </c>
      <c r="C26" s="203">
        <f>'Relative Valuation'!J9</f>
        <v>5241</v>
      </c>
      <c r="D26" s="203">
        <f>C26*(1+D13)</f>
        <v>5869.920000000001</v>
      </c>
      <c r="E26" s="203">
        <f t="shared" ref="E26:L26" si="3">D26*(1+E13)</f>
        <v>6691.7088000000022</v>
      </c>
      <c r="F26" s="203">
        <f t="shared" si="3"/>
        <v>7762.3822080000018</v>
      </c>
      <c r="G26" s="237">
        <f t="shared" si="3"/>
        <v>8926.7395392000017</v>
      </c>
      <c r="H26" s="203">
        <f t="shared" si="3"/>
        <v>10176.483074688003</v>
      </c>
      <c r="I26" s="203">
        <f>H26*(1+I13)</f>
        <v>11397.661043650565</v>
      </c>
      <c r="J26" s="203">
        <f t="shared" si="3"/>
        <v>12537.427148015622</v>
      </c>
      <c r="K26" s="203">
        <f t="shared" si="3"/>
        <v>13665.79559133703</v>
      </c>
      <c r="L26" s="203">
        <f t="shared" si="3"/>
        <v>14690.730260687305</v>
      </c>
      <c r="M26" s="203">
        <f>L26*(1+M13)</f>
        <v>15572.174076328545</v>
      </c>
      <c r="O26" s="18" t="s">
        <v>63</v>
      </c>
      <c r="Q26" s="23">
        <v>1.26</v>
      </c>
      <c r="S26" s="1"/>
      <c r="T26" s="1"/>
      <c r="U26" s="1"/>
      <c r="V26" s="1"/>
      <c r="W26" s="1"/>
      <c r="X26" s="1"/>
      <c r="Y26" s="1"/>
      <c r="Z26" s="1"/>
      <c r="AA26" s="1"/>
    </row>
    <row r="27" spans="2:27" x14ac:dyDescent="0.3">
      <c r="B27" s="9" t="s">
        <v>9</v>
      </c>
      <c r="C27" s="203">
        <f>'Relative Valuation'!K9</f>
        <v>797</v>
      </c>
      <c r="D27" s="203">
        <f>D26*D14</f>
        <v>827.65872000000002</v>
      </c>
      <c r="E27" s="203">
        <f t="shared" ref="E27:M27" si="4">E26*E14</f>
        <v>1037.2148640000003</v>
      </c>
      <c r="F27" s="203">
        <f t="shared" si="4"/>
        <v>1319.6049753600005</v>
      </c>
      <c r="G27" s="203">
        <f t="shared" si="4"/>
        <v>1651.4468147520004</v>
      </c>
      <c r="H27" s="203">
        <f t="shared" si="4"/>
        <v>1953.8847503400966</v>
      </c>
      <c r="I27" s="203">
        <f t="shared" si="4"/>
        <v>2222.5439035118602</v>
      </c>
      <c r="J27" s="203">
        <f t="shared" si="4"/>
        <v>2507.4854296031244</v>
      </c>
      <c r="K27" s="203">
        <f t="shared" si="4"/>
        <v>2733.159118267406</v>
      </c>
      <c r="L27" s="203">
        <f t="shared" si="4"/>
        <v>2938.1460521374611</v>
      </c>
      <c r="M27" s="203">
        <f t="shared" si="4"/>
        <v>3114.4348152657094</v>
      </c>
      <c r="O27" s="9" t="s">
        <v>91</v>
      </c>
      <c r="Q27" s="71">
        <v>5.0000000000000001E-3</v>
      </c>
      <c r="S27" s="1"/>
      <c r="T27" s="1"/>
      <c r="U27" s="1"/>
      <c r="V27" s="1"/>
      <c r="W27" s="1"/>
      <c r="X27" s="1"/>
      <c r="Y27" s="1"/>
      <c r="Z27" s="1"/>
      <c r="AA27" s="1"/>
    </row>
    <row r="28" spans="2:27" x14ac:dyDescent="0.3">
      <c r="B28" s="9" t="s">
        <v>66</v>
      </c>
      <c r="C28" s="61">
        <v>374.67</v>
      </c>
      <c r="D28" s="204">
        <f>D26*D15</f>
        <v>763.08960000000013</v>
      </c>
      <c r="E28" s="204">
        <f t="shared" ref="E28:L28" si="5">E26*E15</f>
        <v>856.53872640000031</v>
      </c>
      <c r="F28" s="204">
        <f t="shared" si="5"/>
        <v>970.29777600000023</v>
      </c>
      <c r="G28" s="204">
        <f t="shared" si="5"/>
        <v>1089.0622237824002</v>
      </c>
      <c r="H28" s="204">
        <f t="shared" si="5"/>
        <v>1221.1779689625603</v>
      </c>
      <c r="I28" s="204">
        <f t="shared" si="5"/>
        <v>1344.9240031507666</v>
      </c>
      <c r="J28" s="204">
        <f t="shared" si="5"/>
        <v>1441.8041220217965</v>
      </c>
      <c r="K28" s="204">
        <f t="shared" si="5"/>
        <v>1530.5691062297474</v>
      </c>
      <c r="L28" s="204">
        <f t="shared" si="5"/>
        <v>1615.9803286756037</v>
      </c>
      <c r="M28" s="204">
        <f>M26*M15</f>
        <v>1635.0782780144971</v>
      </c>
      <c r="O28" s="25" t="s">
        <v>64</v>
      </c>
      <c r="P28" s="26"/>
      <c r="Q28" s="205">
        <f>Q24+(Q26*Q25)+Q27</f>
        <v>0.16420800000000002</v>
      </c>
      <c r="S28" s="1"/>
      <c r="T28" s="1"/>
      <c r="U28" s="1"/>
      <c r="V28" s="1"/>
      <c r="W28" s="1"/>
      <c r="X28" s="1"/>
      <c r="Y28" s="1"/>
      <c r="Z28" s="1"/>
      <c r="AA28" s="1"/>
    </row>
    <row r="29" spans="2:27" x14ac:dyDescent="0.3">
      <c r="B29" s="31" t="s">
        <v>68</v>
      </c>
      <c r="C29" s="203">
        <f>C27-C28</f>
        <v>422.33</v>
      </c>
      <c r="D29" s="203">
        <f t="shared" ref="D29:M29" si="6">D27-D28</f>
        <v>64.569119999999884</v>
      </c>
      <c r="E29" s="203">
        <f t="shared" si="6"/>
        <v>180.67613759999995</v>
      </c>
      <c r="F29" s="203">
        <f t="shared" si="6"/>
        <v>349.30719936000025</v>
      </c>
      <c r="G29" s="203">
        <f t="shared" si="6"/>
        <v>562.38459096960014</v>
      </c>
      <c r="H29" s="203">
        <f t="shared" si="6"/>
        <v>732.70678137753634</v>
      </c>
      <c r="I29" s="203">
        <f t="shared" si="6"/>
        <v>877.61990036109364</v>
      </c>
      <c r="J29" s="203">
        <f t="shared" si="6"/>
        <v>1065.6813075813279</v>
      </c>
      <c r="K29" s="203">
        <f t="shared" si="6"/>
        <v>1202.5900120376587</v>
      </c>
      <c r="L29" s="203">
        <f t="shared" si="6"/>
        <v>1322.1657234618574</v>
      </c>
      <c r="M29" s="203">
        <f t="shared" si="6"/>
        <v>1479.3565372512123</v>
      </c>
      <c r="O29" s="18"/>
      <c r="Q29" s="34"/>
      <c r="R29" s="29"/>
      <c r="S29" s="1"/>
      <c r="T29" s="1"/>
      <c r="U29" s="1"/>
      <c r="V29" s="1"/>
      <c r="W29" s="1"/>
      <c r="X29" s="1"/>
      <c r="Y29" s="1"/>
      <c r="Z29" s="1"/>
      <c r="AA29" s="1"/>
    </row>
    <row r="30" spans="2:27" x14ac:dyDescent="0.3">
      <c r="B30" s="9" t="s">
        <v>93</v>
      </c>
      <c r="C30" s="58">
        <v>0.25</v>
      </c>
      <c r="D30" s="58">
        <v>0.25</v>
      </c>
      <c r="E30" s="58">
        <v>0.25</v>
      </c>
      <c r="F30" s="58">
        <v>0.25</v>
      </c>
      <c r="G30" s="58">
        <v>0.25</v>
      </c>
      <c r="H30" s="58">
        <v>0.25</v>
      </c>
      <c r="I30" s="58">
        <v>0.25</v>
      </c>
      <c r="J30" s="58">
        <v>0.25</v>
      </c>
      <c r="K30" s="58">
        <v>0.25</v>
      </c>
      <c r="L30" s="58">
        <v>0.25</v>
      </c>
      <c r="M30" s="58">
        <v>0.25</v>
      </c>
      <c r="O30" s="18" t="s">
        <v>67</v>
      </c>
      <c r="Q30" s="70">
        <v>7.9868381693090032E-2</v>
      </c>
      <c r="S30" s="1"/>
      <c r="T30" s="1"/>
      <c r="U30" s="1"/>
      <c r="V30" s="1"/>
      <c r="W30" s="1"/>
      <c r="X30" s="1"/>
      <c r="Y30" s="1"/>
      <c r="Z30" s="1"/>
      <c r="AA30" s="1"/>
    </row>
    <row r="31" spans="2:27" x14ac:dyDescent="0.3">
      <c r="B31" s="59" t="s">
        <v>95</v>
      </c>
      <c r="C31" s="204">
        <f>C29*C30</f>
        <v>105.5825</v>
      </c>
      <c r="D31" s="204">
        <f>D29*D30</f>
        <v>16.142279999999971</v>
      </c>
      <c r="E31" s="204">
        <f>E29*E30</f>
        <v>45.169034399999987</v>
      </c>
      <c r="F31" s="204">
        <f t="shared" ref="F31:M31" si="7">F29*F30</f>
        <v>87.326799840000064</v>
      </c>
      <c r="G31" s="204">
        <f t="shared" si="7"/>
        <v>140.59614774240003</v>
      </c>
      <c r="H31" s="204">
        <f t="shared" si="7"/>
        <v>183.17669534438409</v>
      </c>
      <c r="I31" s="204">
        <f t="shared" si="7"/>
        <v>219.40497509027341</v>
      </c>
      <c r="J31" s="204">
        <f t="shared" si="7"/>
        <v>266.42032689533198</v>
      </c>
      <c r="K31" s="204">
        <f t="shared" si="7"/>
        <v>300.64750300941466</v>
      </c>
      <c r="L31" s="204">
        <f t="shared" si="7"/>
        <v>330.54143086546435</v>
      </c>
      <c r="M31" s="204">
        <f t="shared" si="7"/>
        <v>369.83913431280308</v>
      </c>
      <c r="O31" s="18" t="s">
        <v>69</v>
      </c>
      <c r="Q31" s="19">
        <v>0.25</v>
      </c>
      <c r="S31" s="1"/>
      <c r="T31" s="1"/>
      <c r="U31" s="1"/>
      <c r="V31" s="1"/>
      <c r="W31" s="1"/>
      <c r="X31" s="1"/>
      <c r="Y31" s="1"/>
      <c r="Z31" s="1"/>
      <c r="AA31" s="1"/>
    </row>
    <row r="32" spans="2:27" x14ac:dyDescent="0.3">
      <c r="B32" s="9" t="s">
        <v>48</v>
      </c>
      <c r="C32" s="203">
        <f>C29-C31</f>
        <v>316.7475</v>
      </c>
      <c r="D32" s="203">
        <f t="shared" ref="D32:M32" si="8">D29-D31</f>
        <v>48.426839999999913</v>
      </c>
      <c r="E32" s="203">
        <f t="shared" si="8"/>
        <v>135.50710319999996</v>
      </c>
      <c r="F32" s="203">
        <f t="shared" si="8"/>
        <v>261.98039952000022</v>
      </c>
      <c r="G32" s="203">
        <f t="shared" si="8"/>
        <v>421.7884432272001</v>
      </c>
      <c r="H32" s="203">
        <f t="shared" si="8"/>
        <v>549.5300860331522</v>
      </c>
      <c r="I32" s="203">
        <f t="shared" si="8"/>
        <v>658.21492527082023</v>
      </c>
      <c r="J32" s="203">
        <f t="shared" si="8"/>
        <v>799.26098068599595</v>
      </c>
      <c r="K32" s="203">
        <f t="shared" si="8"/>
        <v>901.94250902824399</v>
      </c>
      <c r="L32" s="203">
        <f t="shared" si="8"/>
        <v>991.62429259639305</v>
      </c>
      <c r="M32" s="203">
        <f t="shared" si="8"/>
        <v>1109.5174029384093</v>
      </c>
      <c r="O32" s="32" t="s">
        <v>70</v>
      </c>
      <c r="P32" s="33"/>
      <c r="Q32" s="207">
        <f>Q30*(1-Q31)</f>
        <v>5.9901286269817527E-2</v>
      </c>
      <c r="S32" s="1"/>
      <c r="T32" s="1"/>
      <c r="U32" s="1"/>
      <c r="V32" s="1"/>
      <c r="W32" s="1"/>
      <c r="X32" s="1"/>
      <c r="Y32" s="1"/>
      <c r="Z32" s="1"/>
      <c r="AA32" s="1"/>
    </row>
    <row r="33" spans="2:27" x14ac:dyDescent="0.3">
      <c r="B33" s="59" t="s">
        <v>71</v>
      </c>
      <c r="C33" s="204">
        <f>C28</f>
        <v>374.67</v>
      </c>
      <c r="D33" s="204">
        <f t="shared" ref="D33:M33" si="9">D28</f>
        <v>763.08960000000013</v>
      </c>
      <c r="E33" s="204">
        <f t="shared" si="9"/>
        <v>856.53872640000031</v>
      </c>
      <c r="F33" s="204">
        <f t="shared" si="9"/>
        <v>970.29777600000023</v>
      </c>
      <c r="G33" s="204">
        <f t="shared" si="9"/>
        <v>1089.0622237824002</v>
      </c>
      <c r="H33" s="204">
        <f t="shared" si="9"/>
        <v>1221.1779689625603</v>
      </c>
      <c r="I33" s="204">
        <f t="shared" si="9"/>
        <v>1344.9240031507666</v>
      </c>
      <c r="J33" s="204">
        <f t="shared" si="9"/>
        <v>1441.8041220217965</v>
      </c>
      <c r="K33" s="204">
        <f t="shared" si="9"/>
        <v>1530.5691062297474</v>
      </c>
      <c r="L33" s="204">
        <f t="shared" si="9"/>
        <v>1615.9803286756037</v>
      </c>
      <c r="M33" s="204">
        <f t="shared" si="9"/>
        <v>1635.0782780144971</v>
      </c>
      <c r="O33" s="18"/>
      <c r="Q33" s="34"/>
      <c r="S33" s="1"/>
      <c r="T33" s="1"/>
      <c r="U33" s="1"/>
      <c r="V33" s="1"/>
      <c r="W33" s="1"/>
      <c r="X33" s="1"/>
      <c r="Y33" s="1"/>
      <c r="Z33" s="1"/>
      <c r="AA33" s="1"/>
    </row>
    <row r="34" spans="2:27" x14ac:dyDescent="0.3">
      <c r="B34" s="112" t="s">
        <v>94</v>
      </c>
      <c r="C34" s="238">
        <f>C32+C33</f>
        <v>691.41750000000002</v>
      </c>
      <c r="D34" s="238">
        <f t="shared" ref="D34:L34" si="10">D32+D33</f>
        <v>811.5164400000001</v>
      </c>
      <c r="E34" s="238">
        <f t="shared" si="10"/>
        <v>992.04582960000027</v>
      </c>
      <c r="F34" s="238">
        <f t="shared" si="10"/>
        <v>1232.2781755200003</v>
      </c>
      <c r="G34" s="238">
        <f t="shared" si="10"/>
        <v>1510.8506670096003</v>
      </c>
      <c r="H34" s="238">
        <f t="shared" si="10"/>
        <v>1770.7080549957125</v>
      </c>
      <c r="I34" s="238">
        <f t="shared" si="10"/>
        <v>2003.1389284215868</v>
      </c>
      <c r="J34" s="238">
        <f t="shared" si="10"/>
        <v>2241.0651027077924</v>
      </c>
      <c r="K34" s="238">
        <f t="shared" si="10"/>
        <v>2432.5116152579913</v>
      </c>
      <c r="L34" s="238">
        <f t="shared" si="10"/>
        <v>2607.6046212719966</v>
      </c>
      <c r="M34" s="238">
        <f>M32+M33</f>
        <v>2744.5956809529062</v>
      </c>
      <c r="O34" s="18" t="s">
        <v>72</v>
      </c>
      <c r="Q34" s="164">
        <v>16843.879800000002</v>
      </c>
      <c r="S34" s="1"/>
      <c r="T34" s="1"/>
      <c r="U34" s="1"/>
      <c r="V34" s="1"/>
      <c r="W34" s="1"/>
      <c r="X34" s="1"/>
      <c r="Y34" s="1"/>
      <c r="Z34" s="1"/>
      <c r="AA34" s="1"/>
    </row>
    <row r="35" spans="2:27" x14ac:dyDescent="0.3">
      <c r="B35" s="9" t="s">
        <v>49</v>
      </c>
      <c r="C35" s="24"/>
      <c r="D35" s="24"/>
      <c r="E35" s="24"/>
      <c r="F35" s="24"/>
      <c r="G35" s="24"/>
      <c r="H35" s="24"/>
      <c r="I35" s="24"/>
      <c r="J35" s="24"/>
      <c r="K35" s="24"/>
      <c r="L35" s="24"/>
      <c r="M35" s="24"/>
      <c r="O35" s="18" t="s">
        <v>6</v>
      </c>
      <c r="Q35" s="240">
        <f>'Relative Valuation'!G9</f>
        <v>3161.96</v>
      </c>
      <c r="S35" s="1"/>
      <c r="T35" s="1"/>
      <c r="U35" s="1"/>
      <c r="V35" s="1"/>
      <c r="W35" s="1"/>
      <c r="X35" s="1"/>
      <c r="Y35" s="1"/>
      <c r="Z35" s="1"/>
      <c r="AA35" s="1"/>
    </row>
    <row r="36" spans="2:27" x14ac:dyDescent="0.3">
      <c r="B36" s="60" t="s">
        <v>50</v>
      </c>
      <c r="C36" s="68">
        <v>20</v>
      </c>
      <c r="D36" s="203">
        <f>D19</f>
        <v>25.156800000000032</v>
      </c>
      <c r="E36" s="203">
        <f t="shared" ref="E36:M36" si="11">E19</f>
        <v>32.871552000000037</v>
      </c>
      <c r="F36" s="203">
        <f t="shared" si="11"/>
        <v>42.826936320000016</v>
      </c>
      <c r="G36" s="203">
        <f t="shared" si="11"/>
        <v>46.574293247999947</v>
      </c>
      <c r="H36" s="203">
        <f t="shared" si="11"/>
        <v>49.989741419520101</v>
      </c>
      <c r="I36" s="203">
        <f t="shared" si="11"/>
        <v>48.847118758502461</v>
      </c>
      <c r="J36" s="203">
        <f t="shared" si="11"/>
        <v>45.590644174602289</v>
      </c>
      <c r="K36" s="203">
        <f t="shared" si="11"/>
        <v>45.134737732856308</v>
      </c>
      <c r="L36" s="203">
        <f t="shared" si="11"/>
        <v>40.997386774011034</v>
      </c>
      <c r="M36" s="203">
        <f t="shared" si="11"/>
        <v>35.257752625649573</v>
      </c>
      <c r="O36" s="18" t="s">
        <v>73</v>
      </c>
      <c r="Q36" s="240">
        <f>SUM(Q34:Q35)</f>
        <v>20005.839800000002</v>
      </c>
      <c r="S36" s="1"/>
      <c r="T36" s="1"/>
      <c r="U36" s="1"/>
      <c r="V36" s="1"/>
      <c r="W36" s="1"/>
      <c r="X36" s="1"/>
      <c r="Y36" s="1"/>
      <c r="Z36" s="1"/>
      <c r="AA36" s="1"/>
    </row>
    <row r="37" spans="2:27" x14ac:dyDescent="0.3">
      <c r="B37" s="60" t="s">
        <v>56</v>
      </c>
      <c r="C37" s="61">
        <v>600</v>
      </c>
      <c r="D37" s="204">
        <f>D26*D16</f>
        <v>645.69120000000009</v>
      </c>
      <c r="E37" s="204">
        <f t="shared" ref="E37:L37" si="12">E26*E16</f>
        <v>836.46360000000027</v>
      </c>
      <c r="F37" s="204">
        <f t="shared" si="12"/>
        <v>1047.9215980800004</v>
      </c>
      <c r="G37" s="204">
        <f t="shared" si="12"/>
        <v>1205.1098377920002</v>
      </c>
      <c r="H37" s="204">
        <f t="shared" si="12"/>
        <v>1322.9427997094406</v>
      </c>
      <c r="I37" s="204">
        <f t="shared" si="12"/>
        <v>1367.7193252380678</v>
      </c>
      <c r="J37" s="204">
        <f t="shared" si="12"/>
        <v>1441.8041220217965</v>
      </c>
      <c r="K37" s="204">
        <f t="shared" si="12"/>
        <v>1503.2375150470732</v>
      </c>
      <c r="L37" s="204">
        <f t="shared" si="12"/>
        <v>1542.5266773721671</v>
      </c>
      <c r="M37" s="204">
        <f>M26*M16</f>
        <v>1635.0782780144971</v>
      </c>
      <c r="O37" s="18"/>
      <c r="Q37" s="27"/>
      <c r="S37" s="1"/>
      <c r="T37" s="1"/>
      <c r="U37" s="1"/>
      <c r="V37" s="1"/>
      <c r="W37" s="1"/>
      <c r="X37" s="1"/>
      <c r="Y37" s="1"/>
      <c r="Z37" s="1"/>
      <c r="AA37" s="1"/>
    </row>
    <row r="38" spans="2:27" x14ac:dyDescent="0.3">
      <c r="B38" s="113" t="s">
        <v>51</v>
      </c>
      <c r="C38" s="238">
        <f>C34-C36-C37</f>
        <v>71.417500000000018</v>
      </c>
      <c r="D38" s="238">
        <f t="shared" ref="D38:M38" si="13">D34-D36-D37</f>
        <v>140.66844000000003</v>
      </c>
      <c r="E38" s="238">
        <f t="shared" si="13"/>
        <v>122.71067759999994</v>
      </c>
      <c r="F38" s="238">
        <f t="shared" si="13"/>
        <v>141.52964111999995</v>
      </c>
      <c r="G38" s="238">
        <f t="shared" si="13"/>
        <v>259.16653596960009</v>
      </c>
      <c r="H38" s="238">
        <f t="shared" si="13"/>
        <v>397.77551386675191</v>
      </c>
      <c r="I38" s="238">
        <f t="shared" si="13"/>
        <v>586.57248442501646</v>
      </c>
      <c r="J38" s="238">
        <f t="shared" si="13"/>
        <v>753.67033651139354</v>
      </c>
      <c r="K38" s="238">
        <f t="shared" si="13"/>
        <v>884.13936247806191</v>
      </c>
      <c r="L38" s="238">
        <f t="shared" si="13"/>
        <v>1024.0805571258186</v>
      </c>
      <c r="M38" s="238">
        <f t="shared" si="13"/>
        <v>1074.2596503127595</v>
      </c>
      <c r="O38" s="18" t="s">
        <v>47</v>
      </c>
      <c r="Q38" s="212">
        <f>Q34/Q36</f>
        <v>0.84194814955981012</v>
      </c>
      <c r="S38" s="1"/>
      <c r="T38" s="1"/>
      <c r="U38" s="1"/>
      <c r="V38" s="1"/>
      <c r="W38" s="1"/>
      <c r="X38" s="1"/>
      <c r="Y38" s="1"/>
      <c r="Z38" s="1"/>
      <c r="AA38" s="1"/>
    </row>
    <row r="39" spans="2:27" ht="15" thickBot="1" x14ac:dyDescent="0.35">
      <c r="B39" s="87" t="s">
        <v>52</v>
      </c>
      <c r="C39" s="195"/>
      <c r="D39" s="208">
        <f t="shared" ref="D39:M39" si="14">$D$12</f>
        <v>0.14772213088160951</v>
      </c>
      <c r="E39" s="208">
        <f t="shared" si="14"/>
        <v>0.14772213088160951</v>
      </c>
      <c r="F39" s="208">
        <f t="shared" si="14"/>
        <v>0.14772213088160951</v>
      </c>
      <c r="G39" s="208">
        <f t="shared" si="14"/>
        <v>0.14772213088160951</v>
      </c>
      <c r="H39" s="208">
        <f t="shared" si="14"/>
        <v>0.14772213088160951</v>
      </c>
      <c r="I39" s="208">
        <f t="shared" si="14"/>
        <v>0.14772213088160951</v>
      </c>
      <c r="J39" s="208">
        <f t="shared" si="14"/>
        <v>0.14772213088160951</v>
      </c>
      <c r="K39" s="208">
        <f t="shared" si="14"/>
        <v>0.14772213088160951</v>
      </c>
      <c r="L39" s="208">
        <f t="shared" si="14"/>
        <v>0.14772213088160951</v>
      </c>
      <c r="M39" s="208">
        <f t="shared" si="14"/>
        <v>0.14772213088160951</v>
      </c>
      <c r="O39" s="18" t="s">
        <v>46</v>
      </c>
      <c r="Q39" s="212">
        <f>Q35/Q36</f>
        <v>0.15805185044018996</v>
      </c>
      <c r="S39" s="1"/>
      <c r="T39" s="1"/>
      <c r="U39" s="1"/>
      <c r="V39" s="1"/>
      <c r="W39" s="1"/>
      <c r="X39" s="1"/>
      <c r="Y39" s="1"/>
      <c r="Z39" s="1"/>
      <c r="AA39" s="1"/>
    </row>
    <row r="40" spans="2:27" ht="15" thickBot="1" x14ac:dyDescent="0.35">
      <c r="B40" s="114" t="s">
        <v>53</v>
      </c>
      <c r="C40" s="114"/>
      <c r="D40" s="239">
        <f>D38/(1+D39)^D25</f>
        <v>131.30410180388304</v>
      </c>
      <c r="E40" s="239">
        <f t="shared" ref="E40:M40" si="15">E38/(1+E39)^E25</f>
        <v>99.799236844746147</v>
      </c>
      <c r="F40" s="239">
        <f t="shared" si="15"/>
        <v>100.28951139863231</v>
      </c>
      <c r="G40" s="239">
        <f t="shared" si="15"/>
        <v>160.01116162165289</v>
      </c>
      <c r="H40" s="239">
        <f t="shared" si="15"/>
        <v>213.97973412030177</v>
      </c>
      <c r="I40" s="239">
        <f t="shared" si="15"/>
        <v>274.92835205935859</v>
      </c>
      <c r="J40" s="239">
        <f t="shared" si="15"/>
        <v>307.78149758234917</v>
      </c>
      <c r="K40" s="239">
        <f t="shared" si="15"/>
        <v>314.59010346321423</v>
      </c>
      <c r="L40" s="239">
        <f t="shared" si="15"/>
        <v>317.48389155196338</v>
      </c>
      <c r="M40" s="239">
        <f t="shared" si="15"/>
        <v>290.17505935136074</v>
      </c>
      <c r="O40" s="18"/>
      <c r="Q40" s="27"/>
      <c r="S40" s="1"/>
      <c r="T40" s="1"/>
      <c r="U40" s="1"/>
      <c r="V40" s="1"/>
      <c r="W40" s="1"/>
      <c r="X40" s="1"/>
      <c r="Y40" s="1"/>
      <c r="Z40" s="1"/>
      <c r="AA40" s="1"/>
    </row>
    <row r="41" spans="2:27" ht="15.6" thickTop="1" thickBot="1" x14ac:dyDescent="0.35">
      <c r="O41" s="140" t="s">
        <v>41</v>
      </c>
      <c r="P41" s="141"/>
      <c r="Q41" s="142">
        <f>Q38*Q28+Q39*Q32</f>
        <v>0.14772213088160951</v>
      </c>
      <c r="S41" s="1"/>
      <c r="T41" s="1"/>
      <c r="U41" s="1"/>
      <c r="V41" s="1"/>
      <c r="W41" s="1"/>
      <c r="X41" s="1"/>
      <c r="Y41" s="1"/>
      <c r="Z41" s="1"/>
      <c r="AA41" s="1"/>
    </row>
    <row r="42" spans="2:27" ht="15" thickTop="1" x14ac:dyDescent="0.3">
      <c r="D42" s="9" t="s">
        <v>65</v>
      </c>
      <c r="S42" s="1"/>
      <c r="T42" s="1"/>
      <c r="U42" s="1"/>
      <c r="V42" s="1"/>
      <c r="W42" s="1"/>
      <c r="X42" s="1"/>
      <c r="Y42" s="1"/>
      <c r="Z42" s="1"/>
      <c r="AA42" s="1"/>
    </row>
    <row r="43" spans="2:27" x14ac:dyDescent="0.3">
      <c r="B43" s="116" t="s">
        <v>54</v>
      </c>
      <c r="C43" s="241">
        <f>SUM(D40:M40)</f>
        <v>2210.3426497974624</v>
      </c>
      <c r="S43" s="1"/>
      <c r="T43" s="1"/>
      <c r="U43" s="1"/>
      <c r="V43" s="1"/>
      <c r="W43" s="1"/>
      <c r="X43" s="1"/>
      <c r="Y43" s="1"/>
      <c r="Z43" s="1"/>
      <c r="AA43" s="1"/>
    </row>
    <row r="45" spans="2:27" ht="15" thickBot="1" x14ac:dyDescent="0.35">
      <c r="B45" s="398" t="s">
        <v>106</v>
      </c>
      <c r="C45" s="399"/>
      <c r="E45" s="146" t="s">
        <v>74</v>
      </c>
      <c r="F45" s="147"/>
      <c r="G45" s="147"/>
      <c r="H45" s="147"/>
      <c r="I45" s="147"/>
      <c r="J45" s="148"/>
      <c r="O45" s="400" t="s">
        <v>193</v>
      </c>
      <c r="P45" s="401"/>
      <c r="Q45" s="402"/>
    </row>
    <row r="46" spans="2:27" ht="4.95" customHeight="1" x14ac:dyDescent="0.3">
      <c r="B46" s="35"/>
      <c r="C46" s="36"/>
      <c r="E46" s="37"/>
      <c r="F46" s="38"/>
      <c r="G46" s="38"/>
      <c r="H46" s="38"/>
      <c r="I46" s="38"/>
      <c r="J46" s="39"/>
      <c r="O46" s="40"/>
      <c r="Q46" s="41"/>
    </row>
    <row r="47" spans="2:27" ht="15" thickBot="1" x14ac:dyDescent="0.35">
      <c r="B47" s="18" t="s">
        <v>105</v>
      </c>
      <c r="C47" s="240">
        <f>M38*(1+D11)</f>
        <v>1127.9726328283975</v>
      </c>
      <c r="E47" s="214">
        <f>C50</f>
        <v>5328.2015172842312</v>
      </c>
      <c r="F47" s="42">
        <v>0.13</v>
      </c>
      <c r="G47" s="42">
        <v>0.13600000000000001</v>
      </c>
      <c r="H47" s="43">
        <v>0.14772213088160999</v>
      </c>
      <c r="I47" s="44">
        <v>0.14899999999999999</v>
      </c>
      <c r="J47" s="45">
        <v>0.14899999999999999</v>
      </c>
      <c r="O47" s="40" t="s">
        <v>75</v>
      </c>
      <c r="Q47" s="196">
        <v>1026266378</v>
      </c>
    </row>
    <row r="48" spans="2:27" ht="15.6" thickTop="1" thickBot="1" x14ac:dyDescent="0.35">
      <c r="B48" s="18" t="s">
        <v>106</v>
      </c>
      <c r="C48" s="240">
        <f>C47/(D12-D11)</f>
        <v>11542.652853067008</v>
      </c>
      <c r="E48" s="46">
        <v>0.04</v>
      </c>
      <c r="F48" s="242">
        <f t="dataTable" ref="F48:J52" dt2D="1" dtr="1" r1="D12" r2="D11" ca="1"/>
        <v>6316.9462450661431</v>
      </c>
      <c r="G48" s="243">
        <v>5817.7960901654951</v>
      </c>
      <c r="H48" s="244">
        <v>5011.8288370423252</v>
      </c>
      <c r="I48" s="243">
        <v>4935.1118697208512</v>
      </c>
      <c r="J48" s="245">
        <v>4935.1118697208512</v>
      </c>
      <c r="O48" s="40" t="s">
        <v>76</v>
      </c>
      <c r="Q48" s="197">
        <v>1030400</v>
      </c>
    </row>
    <row r="49" spans="2:17" ht="15" thickBot="1" x14ac:dyDescent="0.35">
      <c r="B49" s="47" t="s">
        <v>107</v>
      </c>
      <c r="C49" s="254">
        <f>C48/(1+D12)^M25</f>
        <v>3117.8588674867683</v>
      </c>
      <c r="E49" s="46">
        <v>4.4999999999999998E-2</v>
      </c>
      <c r="F49" s="242">
        <v>6565.4031456889206</v>
      </c>
      <c r="G49" s="243">
        <v>6025.790099249899</v>
      </c>
      <c r="H49" s="244">
        <v>5162.3154566277099</v>
      </c>
      <c r="I49" s="243">
        <v>5080.6239960484909</v>
      </c>
      <c r="J49" s="245">
        <v>5080.6239960484909</v>
      </c>
      <c r="O49" s="152" t="s">
        <v>77</v>
      </c>
      <c r="P49" s="153"/>
      <c r="Q49" s="253">
        <f>(SUM(Q47:Q48))/(10000000)</f>
        <v>102.7296778</v>
      </c>
    </row>
    <row r="50" spans="2:17" x14ac:dyDescent="0.3">
      <c r="B50" s="117" t="s">
        <v>19</v>
      </c>
      <c r="C50" s="255">
        <f>C49+C43</f>
        <v>5328.2015172842312</v>
      </c>
      <c r="E50" s="48">
        <v>0.05</v>
      </c>
      <c r="F50" s="246">
        <v>6844.9171588895479</v>
      </c>
      <c r="G50" s="244">
        <v>6257.9694582278389</v>
      </c>
      <c r="H50" s="247">
        <v>5328.2015172841984</v>
      </c>
      <c r="I50" s="244">
        <v>5240.8343169546806</v>
      </c>
      <c r="J50" s="248">
        <v>5240.8343169546806</v>
      </c>
    </row>
    <row r="51" spans="2:17" x14ac:dyDescent="0.3">
      <c r="B51" s="18" t="s">
        <v>79</v>
      </c>
      <c r="C51" s="156">
        <v>3</v>
      </c>
      <c r="E51" s="46">
        <v>5.5E-2</v>
      </c>
      <c r="F51" s="242">
        <v>7161.6997071835885</v>
      </c>
      <c r="G51" s="243">
        <v>6518.8129355981164</v>
      </c>
      <c r="H51" s="244">
        <v>5511.9782432089705</v>
      </c>
      <c r="I51" s="243">
        <v>5418.0882890211014</v>
      </c>
      <c r="J51" s="245">
        <v>5418.0882890211014</v>
      </c>
    </row>
    <row r="52" spans="2:17" x14ac:dyDescent="0.3">
      <c r="B52" s="18" t="s">
        <v>108</v>
      </c>
      <c r="C52" s="240">
        <f>'Relative Valuation'!G9</f>
        <v>3161.96</v>
      </c>
      <c r="E52" s="49">
        <v>0.06</v>
      </c>
      <c r="F52" s="249">
        <v>7523.7369052339236</v>
      </c>
      <c r="G52" s="250">
        <v>6813.9779231486955</v>
      </c>
      <c r="H52" s="251">
        <v>5716.7048393749028</v>
      </c>
      <c r="I52" s="250">
        <v>5615.258437724201</v>
      </c>
      <c r="J52" s="252">
        <v>5615.258437724201</v>
      </c>
    </row>
    <row r="53" spans="2:17" ht="15" thickBot="1" x14ac:dyDescent="0.35">
      <c r="B53" s="18" t="s">
        <v>80</v>
      </c>
      <c r="C53" s="156">
        <v>616.33000000000004</v>
      </c>
    </row>
    <row r="54" spans="2:17" x14ac:dyDescent="0.3">
      <c r="B54" s="117" t="s">
        <v>55</v>
      </c>
      <c r="C54" s="256">
        <f>C50+C51-C52-C53</f>
        <v>1552.9115172842312</v>
      </c>
      <c r="E54" s="149" t="s">
        <v>78</v>
      </c>
      <c r="F54" s="150"/>
      <c r="G54" s="150"/>
      <c r="H54" s="150"/>
      <c r="I54" s="150"/>
      <c r="J54" s="151"/>
    </row>
    <row r="55" spans="2:17" ht="15" thickBot="1" x14ac:dyDescent="0.35">
      <c r="E55" s="214">
        <f>C59</f>
        <v>15.116483868542135</v>
      </c>
      <c r="F55" s="42">
        <v>0.13</v>
      </c>
      <c r="G55" s="44">
        <v>0.13600000000000001</v>
      </c>
      <c r="H55" s="43">
        <v>0.14772213088160999</v>
      </c>
      <c r="I55" s="44">
        <v>0.14899999999999999</v>
      </c>
      <c r="J55" s="45">
        <v>0.14899999999999999</v>
      </c>
    </row>
    <row r="56" spans="2:17" ht="15.6" thickTop="1" thickBot="1" x14ac:dyDescent="0.35">
      <c r="B56" s="398" t="s">
        <v>81</v>
      </c>
      <c r="C56" s="399"/>
      <c r="E56" s="46">
        <v>0.04</v>
      </c>
      <c r="F56" s="242">
        <f t="dataTable" ref="F56:J60" dt2D="1" dtr="1" r1="D12" r2="D11"/>
        <v>24.741207209998112</v>
      </c>
      <c r="G56" s="243">
        <v>19.882337158128369</v>
      </c>
      <c r="H56" s="244">
        <v>12.036821914789702</v>
      </c>
      <c r="I56" s="243">
        <v>11.290037061917577</v>
      </c>
      <c r="J56" s="245">
        <v>11.290037061917577</v>
      </c>
    </row>
    <row r="57" spans="2:17" x14ac:dyDescent="0.3">
      <c r="B57" s="18"/>
      <c r="C57" s="52"/>
      <c r="E57" s="46">
        <v>4.4999999999999998E-2</v>
      </c>
      <c r="F57" s="242">
        <v>27.159757583595969</v>
      </c>
      <c r="G57" s="243">
        <v>21.907010198467681</v>
      </c>
      <c r="H57" s="244">
        <v>13.501701614678964</v>
      </c>
      <c r="I57" s="243">
        <v>12.70649362484899</v>
      </c>
      <c r="J57" s="245">
        <v>12.70649362484899</v>
      </c>
    </row>
    <row r="58" spans="2:17" x14ac:dyDescent="0.3">
      <c r="B58" s="53" t="s">
        <v>82</v>
      </c>
      <c r="C58" s="231">
        <f>Q49</f>
        <v>102.7296778</v>
      </c>
      <c r="E58" s="48">
        <v>0.05</v>
      </c>
      <c r="F58" s="246">
        <v>29.880626753893583</v>
      </c>
      <c r="G58" s="244">
        <v>24.167110336520874</v>
      </c>
      <c r="H58" s="247">
        <v>15.116483868541817</v>
      </c>
      <c r="I58" s="244">
        <v>14.266026608278533</v>
      </c>
      <c r="J58" s="248">
        <v>14.266026608278533</v>
      </c>
    </row>
    <row r="59" spans="2:17" x14ac:dyDescent="0.3">
      <c r="B59" s="118" t="s">
        <v>83</v>
      </c>
      <c r="C59" s="257">
        <f>C54/C58</f>
        <v>15.116483868542135</v>
      </c>
      <c r="E59" s="46">
        <v>5.5E-2</v>
      </c>
      <c r="F59" s="242">
        <v>32.964278480230846</v>
      </c>
      <c r="G59" s="243">
        <v>26.706235182975686</v>
      </c>
      <c r="H59" s="244">
        <v>16.905418963642173</v>
      </c>
      <c r="I59" s="243">
        <v>15.991467355902691</v>
      </c>
      <c r="J59" s="245">
        <v>15.991467355902691</v>
      </c>
    </row>
    <row r="60" spans="2:17" x14ac:dyDescent="0.3">
      <c r="B60" s="18" t="s">
        <v>84</v>
      </c>
      <c r="C60" s="164">
        <v>133</v>
      </c>
      <c r="E60" s="49">
        <v>0.06</v>
      </c>
      <c r="F60" s="249">
        <v>36.488451881759175</v>
      </c>
      <c r="G60" s="250">
        <v>29.579455403964047</v>
      </c>
      <c r="H60" s="251">
        <v>18.898286074201071</v>
      </c>
      <c r="I60" s="250">
        <v>17.910777850450934</v>
      </c>
      <c r="J60" s="252">
        <v>17.910777850450934</v>
      </c>
    </row>
    <row r="61" spans="2:17" ht="5.4" customHeight="1" x14ac:dyDescent="0.3">
      <c r="B61" s="18"/>
      <c r="C61" s="54"/>
    </row>
    <row r="62" spans="2:17" x14ac:dyDescent="0.3">
      <c r="B62" s="103" t="s">
        <v>85</v>
      </c>
      <c r="C62" s="233" t="str">
        <f>IF(C60&gt;C59,"Overvalued","Undervalued")</f>
        <v>Overvalued</v>
      </c>
    </row>
    <row r="63" spans="2:17" x14ac:dyDescent="0.3">
      <c r="B63" s="104" t="s">
        <v>86</v>
      </c>
      <c r="C63" s="105">
        <f>C60/C59-1</f>
        <v>7.7983423365255646</v>
      </c>
    </row>
    <row r="65" spans="2:23" ht="5.4" customHeight="1" x14ac:dyDescent="0.3"/>
    <row r="66" spans="2:23" ht="15" thickBot="1" x14ac:dyDescent="0.35">
      <c r="B66" s="392" t="s">
        <v>87</v>
      </c>
      <c r="C66" s="393"/>
    </row>
    <row r="67" spans="2:23" x14ac:dyDescent="0.3">
      <c r="B67" s="55" t="s">
        <v>88</v>
      </c>
      <c r="C67" s="258">
        <f>C54</f>
        <v>1552.9115172842312</v>
      </c>
    </row>
    <row r="68" spans="2:23" x14ac:dyDescent="0.3">
      <c r="B68" s="55" t="s">
        <v>89</v>
      </c>
      <c r="C68" s="235">
        <v>16843.879800000002</v>
      </c>
    </row>
    <row r="69" spans="2:23" ht="15" thickBot="1" x14ac:dyDescent="0.35">
      <c r="B69" s="56" t="s">
        <v>90</v>
      </c>
      <c r="C69" s="57">
        <f>C67/C68</f>
        <v>9.2194407447874979E-2</v>
      </c>
    </row>
    <row r="72" spans="2:23" x14ac:dyDescent="0.3">
      <c r="B72" s="1"/>
      <c r="C72" s="1"/>
      <c r="D72" s="1"/>
      <c r="E72" s="1"/>
      <c r="F72" s="1"/>
      <c r="G72" s="1"/>
      <c r="H72" s="1"/>
      <c r="I72" s="1"/>
      <c r="J72" s="1"/>
      <c r="K72" s="1"/>
      <c r="L72" s="1"/>
      <c r="M72" s="1"/>
      <c r="N72" s="1"/>
      <c r="O72" s="1"/>
      <c r="P72" s="1"/>
      <c r="Q72" s="1"/>
      <c r="R72" s="1"/>
      <c r="S72" s="1"/>
      <c r="T72" s="1"/>
      <c r="U72" s="1"/>
      <c r="V72" s="1"/>
      <c r="W72" s="1"/>
    </row>
    <row r="73" spans="2:23" x14ac:dyDescent="0.3">
      <c r="B73" s="1"/>
      <c r="C73" s="1"/>
      <c r="D73" s="1"/>
      <c r="E73" s="1"/>
      <c r="F73" s="1"/>
      <c r="G73" s="1"/>
      <c r="H73" s="1"/>
      <c r="I73" s="1"/>
      <c r="J73" s="1"/>
      <c r="K73" s="1"/>
      <c r="L73" s="1"/>
      <c r="M73" s="1"/>
      <c r="N73" s="1"/>
      <c r="O73" s="1"/>
      <c r="P73" s="1"/>
      <c r="Q73" s="1"/>
      <c r="R73" s="1"/>
      <c r="S73" s="1"/>
      <c r="T73" s="1"/>
      <c r="U73" s="1"/>
      <c r="V73" s="1"/>
      <c r="W73" s="1"/>
    </row>
    <row r="74" spans="2:23" x14ac:dyDescent="0.3">
      <c r="B74" s="1"/>
      <c r="C74" s="1"/>
      <c r="D74" s="1"/>
      <c r="E74" s="1"/>
      <c r="F74" s="1"/>
      <c r="G74" s="1"/>
      <c r="H74" s="1"/>
      <c r="I74" s="1"/>
      <c r="J74" s="1"/>
      <c r="K74" s="1"/>
      <c r="L74" s="1"/>
      <c r="M74" s="1"/>
      <c r="N74" s="1"/>
      <c r="O74" s="1"/>
      <c r="P74" s="1"/>
      <c r="Q74" s="1"/>
      <c r="R74" s="1"/>
      <c r="S74" s="1"/>
      <c r="T74" s="1"/>
      <c r="U74" s="1"/>
      <c r="V74" s="1"/>
      <c r="W74" s="1"/>
    </row>
    <row r="75" spans="2:23" x14ac:dyDescent="0.3">
      <c r="B75" s="1"/>
      <c r="C75" s="1"/>
      <c r="D75" s="1"/>
      <c r="E75" s="1"/>
      <c r="F75" s="1"/>
      <c r="G75" s="1"/>
      <c r="H75" s="1"/>
      <c r="I75" s="1"/>
      <c r="J75" s="1"/>
      <c r="K75" s="1"/>
      <c r="L75" s="1"/>
      <c r="M75" s="1"/>
      <c r="N75" s="1"/>
      <c r="O75" s="1"/>
      <c r="P75" s="1"/>
      <c r="Q75" s="1"/>
      <c r="R75" s="1"/>
      <c r="S75" s="1"/>
      <c r="T75" s="1"/>
      <c r="U75" s="1"/>
      <c r="V75" s="1"/>
      <c r="W75" s="1"/>
    </row>
    <row r="76" spans="2:23" x14ac:dyDescent="0.3">
      <c r="B76" s="1"/>
      <c r="C76" s="1"/>
      <c r="D76" s="1"/>
      <c r="E76" s="1"/>
      <c r="F76" s="1"/>
      <c r="G76" s="1"/>
      <c r="H76" s="1"/>
      <c r="I76" s="1"/>
      <c r="J76" s="1"/>
      <c r="K76" s="1"/>
      <c r="L76" s="1"/>
      <c r="M76" s="1"/>
      <c r="N76" s="1"/>
      <c r="O76" s="1"/>
      <c r="P76" s="1"/>
      <c r="Q76" s="1"/>
      <c r="R76" s="1"/>
      <c r="S76" s="1"/>
      <c r="T76" s="1"/>
      <c r="U76" s="1"/>
      <c r="V76" s="1"/>
      <c r="W76" s="1"/>
    </row>
    <row r="77" spans="2:23" x14ac:dyDescent="0.3">
      <c r="B77" s="1"/>
      <c r="C77" s="1"/>
      <c r="D77" s="1"/>
      <c r="E77" s="1"/>
      <c r="F77" s="1"/>
      <c r="G77" s="1"/>
      <c r="H77" s="1"/>
      <c r="I77" s="1"/>
      <c r="J77" s="1"/>
      <c r="K77" s="1"/>
      <c r="L77" s="1"/>
      <c r="M77" s="1"/>
      <c r="N77" s="1"/>
      <c r="O77" s="1"/>
      <c r="P77" s="1"/>
      <c r="Q77" s="1"/>
      <c r="R77" s="1"/>
      <c r="S77" s="1"/>
      <c r="T77" s="1"/>
      <c r="U77" s="1"/>
      <c r="V77" s="1"/>
      <c r="W77" s="1"/>
    </row>
    <row r="78" spans="2:23" x14ac:dyDescent="0.3">
      <c r="B78" s="1"/>
      <c r="C78" s="1"/>
      <c r="D78" s="1"/>
      <c r="E78" s="1"/>
      <c r="F78" s="1"/>
      <c r="G78" s="1"/>
      <c r="H78" s="1"/>
      <c r="I78" s="1"/>
      <c r="J78" s="1"/>
      <c r="K78" s="1"/>
      <c r="L78" s="1"/>
      <c r="M78" s="1"/>
      <c r="N78" s="1"/>
      <c r="O78" s="1"/>
      <c r="P78" s="1"/>
      <c r="Q78" s="1"/>
      <c r="R78" s="1"/>
      <c r="S78" s="1"/>
      <c r="T78" s="1"/>
      <c r="U78" s="1"/>
      <c r="V78" s="1"/>
      <c r="W78" s="1"/>
    </row>
    <row r="79" spans="2:23" x14ac:dyDescent="0.3">
      <c r="B79" s="1"/>
      <c r="C79" s="1"/>
      <c r="D79" s="1"/>
      <c r="E79" s="1"/>
      <c r="F79" s="1"/>
      <c r="G79" s="1"/>
      <c r="H79" s="1"/>
      <c r="I79" s="1"/>
      <c r="J79" s="1"/>
      <c r="K79" s="1"/>
      <c r="L79" s="1"/>
      <c r="M79" s="1"/>
      <c r="N79" s="1"/>
      <c r="O79" s="1"/>
      <c r="P79" s="1"/>
      <c r="Q79" s="1"/>
      <c r="R79" s="1"/>
      <c r="S79" s="1"/>
      <c r="T79" s="1"/>
      <c r="U79" s="1"/>
      <c r="V79" s="1"/>
      <c r="W79" s="1"/>
    </row>
    <row r="80" spans="2:23" x14ac:dyDescent="0.3">
      <c r="B80" s="1"/>
      <c r="C80" s="1"/>
      <c r="D80" s="1"/>
      <c r="E80" s="1"/>
      <c r="F80" s="1"/>
      <c r="G80" s="1"/>
      <c r="H80" s="1"/>
      <c r="I80" s="1"/>
      <c r="J80" s="1"/>
      <c r="K80" s="1"/>
      <c r="L80" s="1"/>
      <c r="M80" s="1"/>
      <c r="N80" s="1"/>
      <c r="O80" s="1"/>
      <c r="P80" s="1"/>
      <c r="Q80" s="1"/>
      <c r="R80" s="1"/>
      <c r="S80" s="1"/>
      <c r="T80" s="1"/>
      <c r="U80" s="1"/>
      <c r="V80" s="1"/>
      <c r="W80" s="1"/>
    </row>
    <row r="81" spans="2:23" x14ac:dyDescent="0.3">
      <c r="B81" s="1"/>
      <c r="C81" s="1"/>
      <c r="D81" s="1"/>
      <c r="E81" s="1"/>
      <c r="F81" s="1"/>
      <c r="G81" s="1"/>
      <c r="H81" s="1"/>
      <c r="I81" s="1"/>
      <c r="J81" s="1"/>
      <c r="K81" s="1"/>
      <c r="L81" s="1"/>
      <c r="M81" s="1"/>
      <c r="N81" s="1"/>
      <c r="O81" s="1"/>
      <c r="P81" s="1"/>
      <c r="Q81" s="1"/>
      <c r="R81" s="1"/>
      <c r="S81" s="1"/>
      <c r="T81" s="1"/>
      <c r="U81" s="1"/>
      <c r="V81" s="1"/>
      <c r="W81" s="1"/>
    </row>
    <row r="82" spans="2:23" x14ac:dyDescent="0.3">
      <c r="B82" s="1"/>
      <c r="C82" s="1"/>
      <c r="D82" s="1"/>
      <c r="E82" s="1"/>
      <c r="F82" s="1"/>
      <c r="G82" s="1"/>
      <c r="H82" s="1"/>
      <c r="I82" s="1"/>
      <c r="J82" s="1"/>
      <c r="K82" s="1"/>
      <c r="L82" s="1"/>
      <c r="M82" s="1"/>
      <c r="N82" s="1"/>
      <c r="O82" s="1"/>
      <c r="P82" s="1"/>
      <c r="Q82" s="1"/>
      <c r="R82" s="1"/>
      <c r="S82" s="1"/>
      <c r="T82" s="1"/>
      <c r="U82" s="1"/>
      <c r="V82" s="1"/>
      <c r="W82" s="1"/>
    </row>
    <row r="83" spans="2:23" x14ac:dyDescent="0.3">
      <c r="B83" s="1"/>
      <c r="C83" s="1"/>
      <c r="D83" s="1"/>
      <c r="E83" s="1"/>
      <c r="F83" s="1"/>
      <c r="G83" s="1"/>
      <c r="H83" s="1"/>
      <c r="I83" s="1"/>
      <c r="J83" s="1"/>
      <c r="K83" s="1"/>
      <c r="L83" s="1"/>
      <c r="M83" s="1"/>
      <c r="N83" s="1"/>
      <c r="O83" s="1"/>
      <c r="P83" s="1"/>
      <c r="Q83" s="1"/>
      <c r="R83" s="1"/>
      <c r="S83" s="1"/>
      <c r="T83" s="1"/>
      <c r="U83" s="1"/>
      <c r="V83" s="1"/>
      <c r="W83" s="1"/>
    </row>
    <row r="84" spans="2:23" x14ac:dyDescent="0.3">
      <c r="B84" s="1"/>
      <c r="C84" s="1"/>
      <c r="D84" s="1"/>
      <c r="E84" s="1"/>
      <c r="F84" s="1"/>
      <c r="G84" s="1"/>
      <c r="H84" s="1"/>
      <c r="I84" s="1"/>
      <c r="J84" s="1"/>
      <c r="K84" s="1"/>
      <c r="L84" s="1"/>
      <c r="M84" s="1"/>
      <c r="N84" s="1"/>
      <c r="O84" s="1"/>
      <c r="P84" s="1"/>
      <c r="Q84" s="1"/>
      <c r="R84" s="1"/>
      <c r="S84" s="1"/>
      <c r="T84" s="1"/>
      <c r="U84" s="1"/>
      <c r="V84" s="1"/>
      <c r="W84" s="1"/>
    </row>
    <row r="85" spans="2:23" x14ac:dyDescent="0.3">
      <c r="B85" s="1"/>
      <c r="C85" s="1"/>
      <c r="D85" s="1"/>
      <c r="E85" s="1"/>
      <c r="F85" s="1"/>
      <c r="G85" s="1"/>
      <c r="H85" s="1"/>
      <c r="I85" s="1"/>
      <c r="J85" s="1"/>
      <c r="K85" s="1"/>
      <c r="L85" s="1"/>
      <c r="M85" s="1"/>
      <c r="N85" s="1"/>
      <c r="O85" s="1"/>
      <c r="P85" s="1"/>
      <c r="Q85" s="1"/>
      <c r="R85" s="1"/>
      <c r="S85" s="1"/>
      <c r="T85" s="1"/>
      <c r="U85" s="1"/>
      <c r="V85" s="1"/>
      <c r="W85" s="1"/>
    </row>
    <row r="86" spans="2:23" x14ac:dyDescent="0.3">
      <c r="B86" s="1"/>
      <c r="C86" s="1"/>
      <c r="D86" s="1"/>
      <c r="E86" s="1"/>
      <c r="F86" s="1"/>
      <c r="G86" s="1"/>
      <c r="H86" s="1"/>
      <c r="I86" s="1"/>
      <c r="J86" s="1"/>
      <c r="K86" s="1"/>
      <c r="L86" s="1"/>
      <c r="M86" s="1"/>
      <c r="N86" s="1"/>
      <c r="O86" s="1"/>
      <c r="P86" s="1"/>
      <c r="Q86" s="1"/>
      <c r="R86" s="1"/>
      <c r="S86" s="1"/>
      <c r="T86" s="1"/>
      <c r="U86" s="1"/>
      <c r="V86" s="1"/>
      <c r="W86" s="1"/>
    </row>
    <row r="87" spans="2:23" x14ac:dyDescent="0.3">
      <c r="B87" s="1"/>
      <c r="C87" s="1"/>
      <c r="D87" s="1"/>
      <c r="E87" s="1"/>
      <c r="F87" s="1"/>
      <c r="G87" s="1"/>
      <c r="H87" s="1"/>
      <c r="I87" s="1"/>
      <c r="J87" s="1"/>
      <c r="K87" s="1"/>
      <c r="L87" s="1"/>
      <c r="M87" s="1"/>
      <c r="N87" s="1"/>
      <c r="O87" s="1"/>
      <c r="P87" s="1"/>
      <c r="Q87" s="1"/>
      <c r="R87" s="1"/>
      <c r="S87" s="1"/>
      <c r="T87" s="1"/>
      <c r="U87" s="1"/>
      <c r="V87" s="1"/>
      <c r="W87" s="1"/>
    </row>
  </sheetData>
  <sheetProtection algorithmName="SHA-512" hashValue="QncwB6ewWYudQbrncbbStRXXL3pYEEUR44iGqUwRwyA3rysjVrzpNCveU6b/MUcVxav1N/aTk1+Ipf7Y8Axt2Q==" saltValue="zTazlFhczA7HOfeALzt2PQ==" spinCount="100000" sheet="1" objects="1" scenarios="1"/>
  <mergeCells count="6">
    <mergeCell ref="B66:C66"/>
    <mergeCell ref="B56:C56"/>
    <mergeCell ref="B2:Q2"/>
    <mergeCell ref="D22:M22"/>
    <mergeCell ref="B45:C45"/>
    <mergeCell ref="O45:Q45"/>
  </mergeCells>
  <pageMargins left="0.7" right="0.7" top="0.75" bottom="0.75" header="0.3" footer="0.3"/>
  <pageSetup scale="57" fitToHeight="0" orientation="landscape" r:id="rId1"/>
  <colBreaks count="1" manualBreakCount="1">
    <brk id="18" max="1048575" man="1"/>
  </colBreaks>
  <ignoredErrors>
    <ignoredError sqref="E25:M25 C26:M27 D28:M28"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750B4-D036-49D4-A258-48D3A80D50B9}">
  <dimension ref="B1:M26"/>
  <sheetViews>
    <sheetView showGridLines="0" zoomScale="92" zoomScaleNormal="71" zoomScaleSheetLayoutView="109" workbookViewId="0">
      <selection activeCell="C7" sqref="C7:D9 D14 D16 D20:D22 C25:C26"/>
    </sheetView>
  </sheetViews>
  <sheetFormatPr defaultRowHeight="14.4" x14ac:dyDescent="0.3"/>
  <cols>
    <col min="1" max="1" width="2.33203125" style="1" customWidth="1"/>
    <col min="2" max="2" width="26" style="1" customWidth="1"/>
    <col min="3" max="3" width="17.44140625" style="1" bestFit="1" customWidth="1"/>
    <col min="4" max="4" width="17.33203125" style="1" customWidth="1"/>
    <col min="5" max="5" width="2.33203125" style="1" customWidth="1"/>
    <col min="6" max="6" width="8.88671875" style="1"/>
    <col min="7" max="7" width="11.77734375" style="1" bestFit="1" customWidth="1"/>
    <col min="8" max="10" width="8.88671875" style="1"/>
    <col min="11" max="11" width="9.5546875" style="1" bestFit="1" customWidth="1"/>
    <col min="12" max="16384" width="8.88671875" style="1"/>
  </cols>
  <sheetData>
    <row r="1" spans="2:13" ht="15" customHeight="1" x14ac:dyDescent="0.3"/>
    <row r="2" spans="2:13" ht="25.8" x14ac:dyDescent="0.5">
      <c r="B2" s="403" t="s">
        <v>190</v>
      </c>
      <c r="C2" s="403"/>
      <c r="D2" s="403"/>
      <c r="E2" s="403"/>
      <c r="F2" s="403"/>
      <c r="G2" s="403"/>
      <c r="H2" s="403"/>
      <c r="I2" s="403"/>
      <c r="J2" s="403"/>
      <c r="K2" s="403"/>
      <c r="L2" s="403"/>
      <c r="M2" s="403"/>
    </row>
    <row r="3" spans="2:13" ht="15" customHeight="1" x14ac:dyDescent="0.3">
      <c r="B3" s="259">
        <v>46032</v>
      </c>
      <c r="D3" s="162" t="s">
        <v>58</v>
      </c>
    </row>
    <row r="4" spans="2:13" x14ac:dyDescent="0.3">
      <c r="B4" s="260" t="s">
        <v>113</v>
      </c>
      <c r="C4" s="261"/>
      <c r="D4" s="261"/>
    </row>
    <row r="5" spans="2:13" ht="4.95" customHeight="1" x14ac:dyDescent="0.3"/>
    <row r="6" spans="2:13" x14ac:dyDescent="0.3">
      <c r="B6" s="262" t="s">
        <v>114</v>
      </c>
      <c r="C6" s="262" t="s">
        <v>115</v>
      </c>
      <c r="D6" s="262" t="s">
        <v>116</v>
      </c>
    </row>
    <row r="7" spans="2:13" x14ac:dyDescent="0.3">
      <c r="B7" s="1" t="s">
        <v>117</v>
      </c>
      <c r="C7" s="191">
        <f>'DCF (Sapphire)'!C54</f>
        <v>1812.7352621598423</v>
      </c>
      <c r="D7" s="191">
        <f>'DCF (Devyani)'!C54</f>
        <v>1552.9115172842312</v>
      </c>
    </row>
    <row r="8" spans="2:13" x14ac:dyDescent="0.3">
      <c r="B8" s="1" t="s">
        <v>118</v>
      </c>
      <c r="C8" s="191">
        <f>'DCF (Sapphire)'!C58</f>
        <v>32.994639399999997</v>
      </c>
      <c r="D8" s="191">
        <f>'DCF (Devyani)'!C58</f>
        <v>102.7296778</v>
      </c>
    </row>
    <row r="9" spans="2:13" x14ac:dyDescent="0.3">
      <c r="B9" s="1" t="s">
        <v>83</v>
      </c>
      <c r="C9" s="191">
        <f>'DCF (Sapphire)'!C59</f>
        <v>54.940296215507132</v>
      </c>
      <c r="D9" s="191">
        <f>'DCF (Devyani)'!C59</f>
        <v>15.116483868542135</v>
      </c>
    </row>
    <row r="11" spans="2:13" x14ac:dyDescent="0.3">
      <c r="B11" s="260" t="s">
        <v>119</v>
      </c>
      <c r="C11" s="261"/>
      <c r="D11" s="261"/>
    </row>
    <row r="12" spans="2:13" ht="4.95" customHeight="1" x14ac:dyDescent="0.3"/>
    <row r="13" spans="2:13" x14ac:dyDescent="0.3">
      <c r="B13" s="262" t="s">
        <v>114</v>
      </c>
      <c r="C13" s="262"/>
      <c r="D13" s="262"/>
    </row>
    <row r="14" spans="2:13" x14ac:dyDescent="0.3">
      <c r="B14" s="1" t="s">
        <v>120</v>
      </c>
      <c r="D14" s="268">
        <f>C9/D9</f>
        <v>3.6344626629635459</v>
      </c>
    </row>
    <row r="15" spans="2:13" x14ac:dyDescent="0.3">
      <c r="B15" s="1" t="s">
        <v>33</v>
      </c>
      <c r="D15" s="263">
        <v>1.77</v>
      </c>
    </row>
    <row r="16" spans="2:13" x14ac:dyDescent="0.3">
      <c r="B16" s="1" t="s">
        <v>121</v>
      </c>
      <c r="D16" s="269">
        <f>D15/D14-1</f>
        <v>-0.51299540973775204</v>
      </c>
    </row>
    <row r="18" spans="2:4" x14ac:dyDescent="0.3">
      <c r="B18" s="260" t="s">
        <v>126</v>
      </c>
      <c r="C18" s="261"/>
      <c r="D18" s="261"/>
    </row>
    <row r="19" spans="2:4" ht="4.95" customHeight="1" x14ac:dyDescent="0.3"/>
    <row r="20" spans="2:4" x14ac:dyDescent="0.3">
      <c r="B20" s="80" t="s">
        <v>122</v>
      </c>
      <c r="C20" s="264"/>
      <c r="D20" s="270">
        <f>222/133</f>
        <v>1.6691729323308271</v>
      </c>
    </row>
    <row r="21" spans="2:4" x14ac:dyDescent="0.3">
      <c r="B21" s="80" t="s">
        <v>123</v>
      </c>
      <c r="C21" s="264"/>
      <c r="D21" s="270">
        <f>D15</f>
        <v>1.77</v>
      </c>
    </row>
    <row r="22" spans="2:4" x14ac:dyDescent="0.3">
      <c r="B22" s="80" t="s">
        <v>124</v>
      </c>
      <c r="C22" s="264"/>
      <c r="D22" s="270">
        <f>D14</f>
        <v>3.6344626629635459</v>
      </c>
    </row>
    <row r="24" spans="2:4" ht="28.8" x14ac:dyDescent="0.3">
      <c r="B24" s="265" t="s">
        <v>2</v>
      </c>
      <c r="C24" s="266" t="s">
        <v>125</v>
      </c>
      <c r="D24" s="266" t="s">
        <v>84</v>
      </c>
    </row>
    <row r="25" spans="2:4" x14ac:dyDescent="0.3">
      <c r="B25" s="80" t="s">
        <v>115</v>
      </c>
      <c r="C25" s="271">
        <f>C9</f>
        <v>54.940296215507132</v>
      </c>
      <c r="D25" s="267">
        <v>222</v>
      </c>
    </row>
    <row r="26" spans="2:4" x14ac:dyDescent="0.3">
      <c r="B26" s="80" t="s">
        <v>116</v>
      </c>
      <c r="C26" s="271">
        <f>D9</f>
        <v>15.116483868542135</v>
      </c>
      <c r="D26" s="267">
        <v>133</v>
      </c>
    </row>
  </sheetData>
  <sheetProtection algorithmName="SHA-512" hashValue="83pafBkZWZD9qvVcUos8c7ukSCgvHSVRcEqvFETYbLW/7sYdn+8kzDXqb8rmIwDWFB8Zgw9kG0OYJeCTRbQu0A==" saltValue="WD+gwM5J92NqTYTJqduorw==" spinCount="100000" sheet="1" objects="1" scenarios="1"/>
  <mergeCells count="1">
    <mergeCell ref="B2:M2"/>
  </mergeCells>
  <pageMargins left="0.7" right="0.7" top="1.79" bottom="0.75" header="0.3" footer="0.3"/>
  <pageSetup scale="87" orientation="landscape" r:id="rId1"/>
  <colBreaks count="1" manualBreakCount="1">
    <brk id="13"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5E5F4-403E-4A9E-8927-B021D33E88AC}">
  <sheetPr>
    <pageSetUpPr fitToPage="1"/>
  </sheetPr>
  <dimension ref="B1:Q102"/>
  <sheetViews>
    <sheetView showGridLines="0" topLeftCell="A2" zoomScale="72" zoomScaleNormal="104" workbookViewId="0">
      <selection activeCell="C8" sqref="C8:C12 D15 H17:H19 H21 D17:D22 H24 C25:D26 E28:E32 E34:E35 E38:E41 C46 D47:F49"/>
    </sheetView>
  </sheetViews>
  <sheetFormatPr defaultColWidth="10.77734375" defaultRowHeight="13.2" customHeight="1" x14ac:dyDescent="0.3"/>
  <cols>
    <col min="1" max="1" width="2.77734375" style="272" customWidth="1"/>
    <col min="2" max="2" width="40.77734375" style="272" customWidth="1"/>
    <col min="3" max="6" width="16.77734375" style="272" customWidth="1"/>
    <col min="7" max="7" width="40.77734375" style="272" customWidth="1"/>
    <col min="8" max="13" width="16.77734375" style="272" customWidth="1"/>
    <col min="14" max="16384" width="10.77734375" style="272"/>
  </cols>
  <sheetData>
    <row r="1" spans="2:13" ht="13.8" x14ac:dyDescent="0.3"/>
    <row r="2" spans="2:13" s="274" customFormat="1" ht="25.8" x14ac:dyDescent="0.5">
      <c r="B2" s="403" t="s">
        <v>191</v>
      </c>
      <c r="C2" s="403"/>
      <c r="D2" s="403"/>
      <c r="E2" s="403"/>
      <c r="F2" s="403"/>
      <c r="G2" s="403"/>
      <c r="H2" s="403"/>
      <c r="I2" s="273"/>
      <c r="J2" s="273"/>
      <c r="K2" s="273"/>
      <c r="L2" s="273"/>
      <c r="M2" s="273"/>
    </row>
    <row r="3" spans="2:13" s="274" customFormat="1" ht="13.2" customHeight="1" thickBot="1" x14ac:dyDescent="0.35">
      <c r="B3" s="14" t="s">
        <v>58</v>
      </c>
      <c r="C3" s="273"/>
      <c r="D3" s="273"/>
      <c r="E3" s="273"/>
      <c r="F3" s="273"/>
      <c r="G3" s="273"/>
      <c r="H3" s="273"/>
      <c r="I3" s="273"/>
      <c r="J3" s="273"/>
      <c r="K3" s="273"/>
      <c r="L3" s="273"/>
      <c r="M3" s="273"/>
    </row>
    <row r="4" spans="2:13" ht="13.2" customHeight="1" thickTop="1" x14ac:dyDescent="0.3">
      <c r="B4" s="273"/>
      <c r="C4" s="275" t="s">
        <v>127</v>
      </c>
      <c r="D4" s="275" t="s">
        <v>128</v>
      </c>
      <c r="E4" s="275" t="s">
        <v>129</v>
      </c>
      <c r="F4" s="273"/>
      <c r="G4" s="276" t="s">
        <v>130</v>
      </c>
      <c r="H4" s="277"/>
      <c r="I4" s="273"/>
      <c r="J4" s="273"/>
      <c r="K4" s="273"/>
      <c r="L4" s="273"/>
      <c r="M4" s="273"/>
    </row>
    <row r="5" spans="2:13" ht="13.2" customHeight="1" thickBot="1" x14ac:dyDescent="0.35">
      <c r="B5" s="273"/>
      <c r="C5" s="278" t="s">
        <v>131</v>
      </c>
      <c r="D5" s="278" t="s">
        <v>132</v>
      </c>
      <c r="E5" s="278" t="s">
        <v>133</v>
      </c>
      <c r="F5" s="273"/>
      <c r="G5" s="279" t="s">
        <v>134</v>
      </c>
      <c r="H5" s="280"/>
      <c r="I5" s="273"/>
      <c r="J5" s="273"/>
      <c r="K5" s="273"/>
      <c r="L5" s="273"/>
      <c r="M5" s="273"/>
    </row>
    <row r="6" spans="2:13" ht="13.2" customHeight="1" thickTop="1" x14ac:dyDescent="0.3">
      <c r="B6" s="273"/>
      <c r="C6" s="273"/>
      <c r="D6" s="273"/>
      <c r="E6" s="273"/>
      <c r="F6" s="273"/>
      <c r="G6" s="281"/>
      <c r="H6" s="277"/>
      <c r="I6" s="273"/>
      <c r="J6" s="273"/>
      <c r="K6" s="273"/>
      <c r="L6" s="273"/>
      <c r="M6" s="273"/>
    </row>
    <row r="7" spans="2:13" ht="13.2" customHeight="1" x14ac:dyDescent="0.3">
      <c r="B7" s="282" t="s">
        <v>127</v>
      </c>
      <c r="C7" s="273"/>
      <c r="D7" s="273"/>
      <c r="E7" s="273"/>
      <c r="F7" s="273"/>
      <c r="G7" s="283" t="s">
        <v>135</v>
      </c>
      <c r="H7" s="284">
        <v>46113</v>
      </c>
      <c r="I7" s="273"/>
      <c r="J7" s="273"/>
      <c r="K7" s="273"/>
      <c r="L7" s="273"/>
      <c r="M7" s="273"/>
    </row>
    <row r="8" spans="2:13" ht="13.2" customHeight="1" x14ac:dyDescent="0.3">
      <c r="B8" s="285" t="s">
        <v>136</v>
      </c>
      <c r="C8" s="330">
        <f>'DCF (Devyani)'!C60</f>
        <v>133</v>
      </c>
      <c r="D8" s="273"/>
      <c r="E8" s="273"/>
      <c r="F8" s="273"/>
      <c r="G8" s="286"/>
      <c r="H8" s="287"/>
      <c r="I8" s="273"/>
      <c r="J8" s="273"/>
      <c r="K8" s="273"/>
      <c r="L8" s="273"/>
      <c r="M8" s="273"/>
    </row>
    <row r="9" spans="2:13" ht="13.2" customHeight="1" x14ac:dyDescent="0.3">
      <c r="B9" s="285" t="s">
        <v>137</v>
      </c>
      <c r="C9" s="331">
        <f>'DCF (Devyani)'!Q49</f>
        <v>102.7296778</v>
      </c>
      <c r="D9" s="273"/>
      <c r="E9" s="273"/>
      <c r="F9" s="273"/>
      <c r="G9" s="283" t="s">
        <v>138</v>
      </c>
      <c r="H9" s="287"/>
      <c r="I9" s="1"/>
      <c r="J9" s="1"/>
      <c r="K9" s="1"/>
      <c r="L9" s="1"/>
      <c r="M9" s="1"/>
    </row>
    <row r="10" spans="2:13" ht="13.2" customHeight="1" x14ac:dyDescent="0.3">
      <c r="B10" s="285" t="s">
        <v>10</v>
      </c>
      <c r="C10" s="330">
        <f>'DCF (Devyani)'!E32</f>
        <v>135.50710319999996</v>
      </c>
      <c r="G10" s="288" t="s">
        <v>140</v>
      </c>
      <c r="H10" s="289">
        <v>1</v>
      </c>
      <c r="I10" s="273"/>
      <c r="J10" s="273"/>
      <c r="K10" s="273"/>
      <c r="L10" s="273"/>
      <c r="M10" s="273"/>
    </row>
    <row r="11" spans="2:13" ht="13.2" customHeight="1" x14ac:dyDescent="0.3">
      <c r="B11" s="285" t="s">
        <v>139</v>
      </c>
      <c r="C11" s="332">
        <f>C10/C9</f>
        <v>1.3190648126417073</v>
      </c>
      <c r="D11" s="273"/>
      <c r="E11" s="273"/>
      <c r="F11" s="273"/>
      <c r="G11" s="286"/>
      <c r="H11" s="290"/>
      <c r="I11" s="273"/>
      <c r="J11" s="273"/>
      <c r="K11" s="273"/>
      <c r="L11" s="273"/>
      <c r="M11" s="273"/>
    </row>
    <row r="12" spans="2:13" ht="13.2" customHeight="1" x14ac:dyDescent="0.3">
      <c r="B12" s="285" t="s">
        <v>141</v>
      </c>
      <c r="C12" s="333">
        <f>D19*D16</f>
        <v>58.400511737999999</v>
      </c>
      <c r="D12" s="273"/>
      <c r="E12" s="273"/>
      <c r="F12" s="273"/>
      <c r="G12" s="283" t="s">
        <v>142</v>
      </c>
      <c r="H12" s="291">
        <v>0.25</v>
      </c>
      <c r="I12" s="273"/>
      <c r="J12" s="273"/>
      <c r="K12" s="273"/>
      <c r="L12" s="273"/>
      <c r="M12" s="273"/>
    </row>
    <row r="13" spans="2:13" ht="13.2" customHeight="1" x14ac:dyDescent="0.3">
      <c r="B13" s="273"/>
      <c r="C13" s="273"/>
      <c r="D13" s="273"/>
      <c r="E13" s="273"/>
      <c r="F13" s="273"/>
      <c r="G13" s="286"/>
      <c r="H13" s="291"/>
      <c r="I13" s="273"/>
      <c r="J13" s="273"/>
      <c r="K13" s="273"/>
      <c r="L13" s="273"/>
      <c r="M13" s="273"/>
    </row>
    <row r="14" spans="2:13" s="274" customFormat="1" ht="13.2" customHeight="1" x14ac:dyDescent="0.3">
      <c r="B14" s="282" t="s">
        <v>128</v>
      </c>
      <c r="C14" s="292"/>
      <c r="D14" s="273"/>
      <c r="E14" s="273"/>
      <c r="F14" s="273"/>
      <c r="G14" s="293" t="s">
        <v>143</v>
      </c>
      <c r="H14" s="294">
        <v>225</v>
      </c>
      <c r="I14" s="273"/>
      <c r="J14" s="273"/>
      <c r="K14" s="273"/>
      <c r="L14" s="273"/>
      <c r="M14" s="273"/>
    </row>
    <row r="15" spans="2:13" ht="13.2" customHeight="1" x14ac:dyDescent="0.3">
      <c r="B15" s="295" t="s">
        <v>177</v>
      </c>
      <c r="C15" s="273"/>
      <c r="D15" s="330">
        <f>'DCF (Sapphire)'!C60</f>
        <v>222</v>
      </c>
      <c r="E15" s="273"/>
      <c r="F15" s="273"/>
      <c r="G15" s="286"/>
      <c r="H15" s="291"/>
      <c r="I15" s="273"/>
      <c r="J15" s="273"/>
      <c r="K15" s="273"/>
      <c r="L15" s="273"/>
      <c r="M15" s="273"/>
    </row>
    <row r="16" spans="2:13" ht="13.2" customHeight="1" x14ac:dyDescent="0.3">
      <c r="B16" s="296" t="s">
        <v>144</v>
      </c>
      <c r="D16" s="297">
        <v>1.77</v>
      </c>
      <c r="E16" s="273"/>
      <c r="F16" s="273"/>
      <c r="G16" s="283" t="s">
        <v>146</v>
      </c>
      <c r="H16" s="291"/>
      <c r="I16" s="273"/>
      <c r="J16" s="273"/>
      <c r="K16" s="298"/>
      <c r="L16" s="273"/>
      <c r="M16" s="273"/>
    </row>
    <row r="17" spans="2:13" ht="13.2" customHeight="1" x14ac:dyDescent="0.3">
      <c r="B17" s="295" t="s">
        <v>145</v>
      </c>
      <c r="C17" s="273"/>
      <c r="D17" s="330">
        <f>C8*D16</f>
        <v>235.41</v>
      </c>
      <c r="E17" s="273"/>
      <c r="F17" s="273"/>
      <c r="G17" s="286" t="s">
        <v>148</v>
      </c>
      <c r="H17" s="334">
        <f>'DCF (Sapphire)'!C54</f>
        <v>1812.7352621598423</v>
      </c>
      <c r="I17" s="273"/>
      <c r="J17" s="273"/>
      <c r="K17" s="273"/>
      <c r="L17" s="273"/>
      <c r="M17" s="273"/>
    </row>
    <row r="18" spans="2:13" ht="13.2" customHeight="1" x14ac:dyDescent="0.3">
      <c r="B18" s="299" t="s">
        <v>147</v>
      </c>
      <c r="C18" s="300"/>
      <c r="D18" s="336">
        <f>(D17/D15)-1</f>
        <v>6.0405405405405288E-2</v>
      </c>
      <c r="E18" s="273"/>
      <c r="F18" s="273"/>
      <c r="G18" s="286" t="s">
        <v>150</v>
      </c>
      <c r="H18" s="334">
        <f>'DCF (Sapphire)'!C50</f>
        <v>3051.0852621598424</v>
      </c>
      <c r="I18" s="273"/>
      <c r="J18" s="273"/>
      <c r="K18" s="273"/>
      <c r="L18" s="273"/>
      <c r="M18" s="273"/>
    </row>
    <row r="19" spans="2:13" ht="13.2" customHeight="1" x14ac:dyDescent="0.3">
      <c r="B19" s="295" t="s">
        <v>149</v>
      </c>
      <c r="C19" s="273"/>
      <c r="D19" s="337">
        <f>'DCF (Sapphire)'!C58</f>
        <v>32.994639399999997</v>
      </c>
      <c r="E19" s="273"/>
      <c r="F19" s="273"/>
      <c r="G19" s="286" t="s">
        <v>152</v>
      </c>
      <c r="H19" s="335">
        <f>H18-H17</f>
        <v>1238.3500000000001</v>
      </c>
      <c r="I19" s="273"/>
      <c r="J19" s="273"/>
      <c r="K19" s="273"/>
      <c r="L19" s="273"/>
      <c r="M19" s="273"/>
    </row>
    <row r="20" spans="2:13" ht="13.2" customHeight="1" x14ac:dyDescent="0.3">
      <c r="B20" s="295" t="s">
        <v>151</v>
      </c>
      <c r="C20" s="273"/>
      <c r="D20" s="338">
        <f>D17*D19</f>
        <v>7767.268061153999</v>
      </c>
      <c r="E20" s="273"/>
      <c r="F20" s="273"/>
      <c r="G20" s="286" t="s">
        <v>153</v>
      </c>
      <c r="H20" s="302">
        <v>10</v>
      </c>
      <c r="I20" s="273"/>
      <c r="J20" s="273"/>
      <c r="K20" s="273"/>
      <c r="L20" s="273"/>
      <c r="M20" s="273"/>
    </row>
    <row r="21" spans="2:13" ht="13.2" customHeight="1" x14ac:dyDescent="0.3">
      <c r="B21" s="295" t="s">
        <v>10</v>
      </c>
      <c r="D21" s="330">
        <f>'DCF (Sapphire)'!E32</f>
        <v>80.568350999999993</v>
      </c>
      <c r="E21" s="273"/>
      <c r="F21" s="273"/>
      <c r="G21" s="286" t="s">
        <v>154</v>
      </c>
      <c r="H21" s="335">
        <f>H19/H20</f>
        <v>123.83500000000001</v>
      </c>
      <c r="I21" s="273"/>
      <c r="J21" s="273"/>
      <c r="K21" s="273"/>
      <c r="L21" s="273"/>
      <c r="M21" s="273"/>
    </row>
    <row r="22" spans="2:13" ht="13.2" customHeight="1" x14ac:dyDescent="0.3">
      <c r="B22" s="295" t="s">
        <v>139</v>
      </c>
      <c r="C22" s="273"/>
      <c r="D22" s="339">
        <f>D21/D19</f>
        <v>2.44186184377575</v>
      </c>
      <c r="G22" s="286"/>
      <c r="H22" s="303"/>
      <c r="I22" s="273"/>
      <c r="J22" s="273"/>
      <c r="K22" s="273"/>
      <c r="L22" s="273"/>
      <c r="M22" s="273"/>
    </row>
    <row r="23" spans="2:13" ht="13.2" customHeight="1" x14ac:dyDescent="0.3">
      <c r="G23" s="286" t="s">
        <v>172</v>
      </c>
      <c r="H23" s="120">
        <v>1.2E-2</v>
      </c>
      <c r="I23" s="273"/>
      <c r="J23" s="273"/>
      <c r="K23" s="273"/>
      <c r="L23" s="273"/>
      <c r="M23" s="273"/>
    </row>
    <row r="24" spans="2:13" ht="13.2" customHeight="1" x14ac:dyDescent="0.3">
      <c r="B24" s="282" t="s">
        <v>155</v>
      </c>
      <c r="C24" s="273"/>
      <c r="D24" s="273"/>
      <c r="E24" s="273"/>
      <c r="F24" s="273"/>
      <c r="G24" s="304" t="s">
        <v>173</v>
      </c>
      <c r="H24" s="340">
        <f>H23*D20</f>
        <v>93.207216733847986</v>
      </c>
      <c r="I24" s="273"/>
      <c r="J24" s="273"/>
      <c r="K24" s="273"/>
      <c r="L24" s="273"/>
      <c r="M24" s="273"/>
    </row>
    <row r="25" spans="2:13" ht="13.2" customHeight="1" x14ac:dyDescent="0.3">
      <c r="B25" s="299" t="s">
        <v>156</v>
      </c>
      <c r="C25" s="341">
        <f>C10</f>
        <v>135.50710319999996</v>
      </c>
      <c r="D25" s="342">
        <f>D21</f>
        <v>80.568350999999993</v>
      </c>
      <c r="E25" s="301"/>
      <c r="F25" s="273"/>
      <c r="G25" s="273"/>
      <c r="H25" s="273"/>
      <c r="I25" s="273"/>
      <c r="J25" s="273"/>
      <c r="K25" s="273"/>
      <c r="L25" s="273"/>
      <c r="M25" s="273"/>
    </row>
    <row r="26" spans="2:13" ht="13.2" customHeight="1" x14ac:dyDescent="0.3">
      <c r="B26" s="299" t="s">
        <v>157</v>
      </c>
      <c r="C26" s="343">
        <f>C25/(1-$H$12)</f>
        <v>180.67613759999995</v>
      </c>
      <c r="D26" s="344">
        <f>D25/(1-$H$12)</f>
        <v>107.42446799999999</v>
      </c>
      <c r="E26" s="301"/>
      <c r="F26" s="273"/>
      <c r="G26" s="273"/>
      <c r="H26" s="273"/>
      <c r="I26" s="273"/>
      <c r="J26" s="273"/>
      <c r="K26" s="273"/>
      <c r="L26" s="273"/>
      <c r="M26" s="273"/>
    </row>
    <row r="27" spans="2:13" ht="13.2" customHeight="1" x14ac:dyDescent="0.3">
      <c r="B27" s="299"/>
      <c r="C27" s="305"/>
      <c r="D27" s="305"/>
      <c r="E27" s="301"/>
      <c r="F27" s="273"/>
      <c r="G27" s="306"/>
      <c r="H27" s="306"/>
      <c r="I27" s="306"/>
      <c r="J27" s="306"/>
      <c r="K27" s="306"/>
      <c r="L27" s="273"/>
      <c r="M27" s="273"/>
    </row>
    <row r="28" spans="2:13" ht="13.2" customHeight="1" x14ac:dyDescent="0.3">
      <c r="B28" s="295" t="s">
        <v>158</v>
      </c>
      <c r="C28" s="305"/>
      <c r="D28" s="305"/>
      <c r="E28" s="345">
        <f>SUM(C26:D26)</f>
        <v>288.10060559999994</v>
      </c>
      <c r="F28" s="273"/>
      <c r="G28" s="306"/>
      <c r="H28" s="306"/>
      <c r="I28" s="306"/>
      <c r="J28" s="306"/>
      <c r="K28" s="306"/>
      <c r="L28" s="273"/>
      <c r="M28" s="273"/>
    </row>
    <row r="29" spans="2:13" ht="13.2" customHeight="1" x14ac:dyDescent="0.3">
      <c r="B29" s="295" t="s">
        <v>159</v>
      </c>
      <c r="C29" s="273"/>
      <c r="D29" s="273"/>
      <c r="E29" s="346">
        <f>H21</f>
        <v>123.83500000000001</v>
      </c>
      <c r="F29" s="273"/>
      <c r="G29" s="306"/>
      <c r="H29" s="306"/>
      <c r="I29" s="306"/>
      <c r="J29" s="306"/>
      <c r="K29" s="306"/>
      <c r="L29" s="273"/>
      <c r="M29" s="273"/>
    </row>
    <row r="30" spans="2:13" ht="13.2" customHeight="1" x14ac:dyDescent="0.3">
      <c r="B30" s="295" t="s">
        <v>160</v>
      </c>
      <c r="C30" s="273"/>
      <c r="D30" s="273"/>
      <c r="E30" s="346">
        <f>H24</f>
        <v>93.207216733847986</v>
      </c>
      <c r="F30" s="273"/>
      <c r="G30" s="306"/>
      <c r="H30" s="306"/>
      <c r="I30" s="306"/>
      <c r="J30" s="306"/>
      <c r="K30" s="306"/>
      <c r="L30" s="273"/>
      <c r="M30" s="273"/>
    </row>
    <row r="31" spans="2:13" ht="13.2" customHeight="1" x14ac:dyDescent="0.3">
      <c r="B31" s="295" t="s">
        <v>161</v>
      </c>
      <c r="C31" s="273"/>
      <c r="D31" s="273"/>
      <c r="E31" s="346">
        <f>H14</f>
        <v>225</v>
      </c>
      <c r="G31" s="306"/>
      <c r="H31" s="306"/>
      <c r="I31" s="306"/>
      <c r="J31" s="306"/>
      <c r="K31" s="306"/>
      <c r="L31" s="273"/>
      <c r="M31" s="273"/>
    </row>
    <row r="32" spans="2:13" ht="13.2" customHeight="1" x14ac:dyDescent="0.3">
      <c r="B32" s="295" t="s">
        <v>162</v>
      </c>
      <c r="C32" s="273"/>
      <c r="D32" s="273"/>
      <c r="E32" s="347">
        <f>E28-E29-E30+E31</f>
        <v>296.05838886615197</v>
      </c>
      <c r="G32" s="306"/>
      <c r="H32" s="306"/>
      <c r="I32" s="306"/>
      <c r="J32" s="306"/>
      <c r="K32" s="306"/>
      <c r="L32" s="273"/>
      <c r="M32" s="273"/>
    </row>
    <row r="33" spans="2:13" ht="13.2" customHeight="1" x14ac:dyDescent="0.3">
      <c r="B33" s="295"/>
      <c r="C33" s="273"/>
      <c r="D33" s="273"/>
      <c r="E33" s="301"/>
      <c r="F33" s="273"/>
      <c r="G33" s="306"/>
      <c r="H33" s="306"/>
      <c r="I33" s="306"/>
      <c r="J33" s="306"/>
      <c r="K33" s="306"/>
      <c r="L33" s="273"/>
      <c r="M33" s="273"/>
    </row>
    <row r="34" spans="2:13" ht="13.2" customHeight="1" x14ac:dyDescent="0.3">
      <c r="B34" s="307" t="s">
        <v>163</v>
      </c>
      <c r="C34" s="273"/>
      <c r="D34" s="273"/>
      <c r="E34" s="348">
        <f>E32*(1-H12)</f>
        <v>222.04379164961398</v>
      </c>
      <c r="F34" s="273"/>
      <c r="G34" s="306"/>
      <c r="H34" s="306"/>
      <c r="I34" s="306"/>
      <c r="J34" s="306"/>
      <c r="K34" s="306"/>
      <c r="L34" s="273"/>
      <c r="M34" s="273"/>
    </row>
    <row r="35" spans="2:13" ht="13.2" customHeight="1" x14ac:dyDescent="0.3">
      <c r="B35" s="295" t="s">
        <v>164</v>
      </c>
      <c r="C35" s="273"/>
      <c r="D35" s="273"/>
      <c r="E35" s="349">
        <f>C9+C12</f>
        <v>161.130189538</v>
      </c>
      <c r="F35" s="273"/>
      <c r="G35" s="306"/>
      <c r="H35" s="306"/>
      <c r="I35" s="306"/>
      <c r="J35" s="306"/>
      <c r="K35" s="306"/>
      <c r="L35" s="273"/>
      <c r="M35" s="273"/>
    </row>
    <row r="36" spans="2:13" ht="13.2" customHeight="1" x14ac:dyDescent="0.3">
      <c r="B36" s="295" t="s">
        <v>165</v>
      </c>
      <c r="C36" s="273"/>
      <c r="D36" s="273"/>
      <c r="E36" s="308">
        <v>18.5</v>
      </c>
      <c r="F36" s="309" t="s">
        <v>174</v>
      </c>
      <c r="G36" s="310"/>
      <c r="H36" s="306"/>
      <c r="I36" s="306"/>
      <c r="J36" s="306"/>
      <c r="K36" s="306"/>
      <c r="L36" s="273"/>
      <c r="M36" s="273"/>
    </row>
    <row r="37" spans="2:13" ht="13.2" customHeight="1" x14ac:dyDescent="0.3">
      <c r="B37" s="295"/>
      <c r="C37" s="273"/>
      <c r="D37" s="273"/>
      <c r="E37" s="301"/>
      <c r="F37" s="273"/>
      <c r="G37" s="306"/>
      <c r="H37" s="306"/>
      <c r="I37" s="306"/>
      <c r="J37" s="306"/>
      <c r="K37" s="306"/>
      <c r="L37" s="273"/>
      <c r="M37" s="273"/>
    </row>
    <row r="38" spans="2:13" ht="13.2" customHeight="1" x14ac:dyDescent="0.3">
      <c r="B38" s="311" t="s">
        <v>166</v>
      </c>
      <c r="C38" s="312"/>
      <c r="D38" s="312"/>
      <c r="E38" s="350">
        <f>E34/E35</f>
        <v>1.3780396602664486</v>
      </c>
      <c r="F38" s="273"/>
      <c r="G38" s="306"/>
      <c r="H38" s="306"/>
      <c r="I38" s="306"/>
      <c r="J38" s="306"/>
      <c r="K38" s="306"/>
      <c r="L38" s="273"/>
      <c r="M38" s="273"/>
    </row>
    <row r="39" spans="2:13" ht="13.2" customHeight="1" x14ac:dyDescent="0.3">
      <c r="B39" s="313" t="s">
        <v>167</v>
      </c>
      <c r="C39" s="300"/>
      <c r="D39" s="300"/>
      <c r="E39" s="351">
        <f>C11</f>
        <v>1.3190648126417073</v>
      </c>
      <c r="F39" s="273"/>
      <c r="G39" s="306"/>
      <c r="H39" s="306"/>
      <c r="I39" s="306"/>
      <c r="J39" s="306"/>
      <c r="K39" s="306"/>
      <c r="L39" s="273"/>
      <c r="M39" s="273"/>
    </row>
    <row r="40" spans="2:13" ht="13.2" customHeight="1" x14ac:dyDescent="0.3">
      <c r="B40" s="314" t="s">
        <v>168</v>
      </c>
      <c r="C40" s="315"/>
      <c r="D40" s="315"/>
      <c r="E40" s="352">
        <f>E38-E39</f>
        <v>5.8974847624741367E-2</v>
      </c>
      <c r="F40" s="273"/>
      <c r="G40" s="273"/>
      <c r="H40" s="273"/>
      <c r="I40" s="273"/>
      <c r="J40" s="273"/>
      <c r="K40" s="273"/>
      <c r="L40" s="273"/>
      <c r="M40" s="273"/>
    </row>
    <row r="41" spans="2:13" ht="13.2" customHeight="1" x14ac:dyDescent="0.3">
      <c r="B41" s="316" t="s">
        <v>169</v>
      </c>
      <c r="C41" s="317"/>
      <c r="D41" s="317"/>
      <c r="E41" s="353">
        <f>(E38/E39)-1</f>
        <v>4.4709590506498031E-2</v>
      </c>
      <c r="F41" s="273"/>
      <c r="G41" s="273"/>
      <c r="H41" s="273"/>
      <c r="I41" s="273"/>
      <c r="J41" s="273"/>
      <c r="K41" s="273"/>
      <c r="L41" s="273"/>
      <c r="M41" s="273"/>
    </row>
    <row r="42" spans="2:13" ht="13.2" customHeight="1" x14ac:dyDescent="0.3">
      <c r="B42" s="273"/>
      <c r="C42" s="273"/>
      <c r="D42" s="273"/>
      <c r="E42" s="273"/>
      <c r="F42" s="273"/>
      <c r="G42" s="273"/>
      <c r="H42" s="273"/>
      <c r="I42" s="273"/>
      <c r="J42" s="273"/>
      <c r="K42" s="273"/>
      <c r="L42" s="273"/>
      <c r="M42" s="273"/>
    </row>
    <row r="43" spans="2:13" ht="13.2" customHeight="1" thickBot="1" x14ac:dyDescent="0.35">
      <c r="B43" s="273"/>
      <c r="C43" s="273"/>
      <c r="D43" s="273"/>
      <c r="E43" s="273"/>
      <c r="F43" s="273"/>
      <c r="G43" s="306"/>
      <c r="H43" s="306"/>
      <c r="I43" s="273"/>
      <c r="J43" s="273"/>
      <c r="K43" s="273"/>
      <c r="L43" s="273"/>
      <c r="M43" s="273"/>
    </row>
    <row r="44" spans="2:13" ht="13.2" customHeight="1" x14ac:dyDescent="0.3">
      <c r="B44" s="318" t="s">
        <v>170</v>
      </c>
      <c r="C44" s="319"/>
      <c r="D44" s="319"/>
      <c r="E44" s="319"/>
      <c r="F44" s="320"/>
      <c r="G44" s="306"/>
      <c r="H44" s="306"/>
      <c r="I44" s="273"/>
      <c r="J44" s="273"/>
      <c r="K44" s="273"/>
      <c r="L44" s="273"/>
      <c r="M44" s="273"/>
    </row>
    <row r="45" spans="2:13" ht="13.2" customHeight="1" x14ac:dyDescent="0.3">
      <c r="B45" s="321"/>
      <c r="C45" s="273"/>
      <c r="D45" s="273" t="s">
        <v>176</v>
      </c>
      <c r="E45" s="273"/>
      <c r="F45" s="322"/>
      <c r="G45" s="306"/>
      <c r="H45" s="306"/>
      <c r="I45" s="273"/>
      <c r="J45" s="273"/>
      <c r="K45" s="273"/>
      <c r="L45" s="273"/>
      <c r="M45" s="273"/>
    </row>
    <row r="46" spans="2:13" ht="13.2" customHeight="1" x14ac:dyDescent="0.3">
      <c r="B46" s="321"/>
      <c r="C46" s="354">
        <f>E41</f>
        <v>4.4709590506498031E-2</v>
      </c>
      <c r="D46" s="323">
        <v>190</v>
      </c>
      <c r="E46" s="323">
        <v>225</v>
      </c>
      <c r="F46" s="324">
        <v>260</v>
      </c>
      <c r="G46" s="306"/>
      <c r="H46" s="306"/>
      <c r="I46" s="273"/>
      <c r="J46" s="273"/>
      <c r="K46" s="273"/>
      <c r="L46" s="273"/>
      <c r="M46" s="273"/>
    </row>
    <row r="47" spans="2:13" ht="13.2" customHeight="1" x14ac:dyDescent="0.3">
      <c r="B47" s="325" t="s">
        <v>175</v>
      </c>
      <c r="C47" s="326">
        <v>1.7</v>
      </c>
      <c r="D47" s="355">
        <f t="dataTable" ref="D47:F49" dt2D="1" dtr="1" r1="H14" r2="D16" ca="1"/>
        <v>-5.2202801758014283E-2</v>
      </c>
      <c r="E47" s="355">
        <v>7.3098746247357571E-2</v>
      </c>
      <c r="F47" s="356">
        <v>0.1984002942527292</v>
      </c>
      <c r="G47" s="306"/>
      <c r="H47" s="306"/>
      <c r="I47" s="273"/>
      <c r="J47" s="273"/>
      <c r="K47" s="273"/>
      <c r="L47" s="273"/>
      <c r="M47" s="273"/>
    </row>
    <row r="48" spans="2:13" ht="13.2" customHeight="1" x14ac:dyDescent="0.3">
      <c r="B48" s="321"/>
      <c r="C48" s="327">
        <v>1.77</v>
      </c>
      <c r="D48" s="357">
        <v>-7.8795897068989706E-2</v>
      </c>
      <c r="E48" s="357">
        <v>4.4709590506498031E-2</v>
      </c>
      <c r="F48" s="358">
        <v>0.16821507808198577</v>
      </c>
      <c r="G48" s="306"/>
      <c r="H48" s="306"/>
      <c r="I48" s="273"/>
      <c r="J48" s="273"/>
      <c r="K48" s="273"/>
      <c r="L48" s="273"/>
      <c r="M48" s="273"/>
    </row>
    <row r="49" spans="2:17" ht="13.2" customHeight="1" thickBot="1" x14ac:dyDescent="0.35">
      <c r="B49" s="328"/>
      <c r="C49" s="329">
        <v>1.85</v>
      </c>
      <c r="D49" s="359">
        <v>-0.10826954277914669</v>
      </c>
      <c r="E49" s="359">
        <v>1.3245336024950927E-2</v>
      </c>
      <c r="F49" s="360">
        <v>0.13476021482904876</v>
      </c>
      <c r="G49" s="306"/>
      <c r="H49" s="306"/>
      <c r="I49" s="273"/>
      <c r="J49" s="273"/>
      <c r="K49" s="273"/>
      <c r="L49" s="273"/>
      <c r="M49" s="273"/>
    </row>
    <row r="50" spans="2:17" ht="13.2" customHeight="1" x14ac:dyDescent="0.3">
      <c r="C50" s="1"/>
      <c r="D50" s="1"/>
      <c r="E50" s="1"/>
      <c r="F50" s="1"/>
      <c r="G50" s="1"/>
      <c r="H50" s="306"/>
      <c r="I50" s="273"/>
    </row>
    <row r="51" spans="2:17" ht="13.2" customHeight="1" x14ac:dyDescent="0.3">
      <c r="B51" s="1"/>
      <c r="C51" s="1"/>
      <c r="D51" s="1"/>
      <c r="E51" s="1"/>
      <c r="F51" s="1"/>
      <c r="G51" s="1"/>
      <c r="H51" s="306"/>
      <c r="I51" s="273"/>
    </row>
    <row r="52" spans="2:17" ht="13.2" customHeight="1" x14ac:dyDescent="0.3">
      <c r="B52" s="1"/>
      <c r="C52" s="1"/>
      <c r="D52" s="1"/>
      <c r="E52" s="1"/>
      <c r="F52" s="1"/>
      <c r="G52" s="1"/>
      <c r="H52" s="306"/>
      <c r="I52" s="273"/>
    </row>
    <row r="53" spans="2:17" ht="13.2" customHeight="1" x14ac:dyDescent="0.3">
      <c r="B53" s="1"/>
      <c r="C53" s="1"/>
      <c r="D53" s="1"/>
      <c r="E53" s="1"/>
      <c r="F53" s="1"/>
      <c r="G53" s="1"/>
      <c r="H53" s="306"/>
      <c r="I53" s="273"/>
    </row>
    <row r="54" spans="2:17" ht="13.2" customHeight="1" x14ac:dyDescent="0.3">
      <c r="B54" s="1"/>
      <c r="C54" s="1"/>
      <c r="D54" s="1"/>
      <c r="E54" s="1"/>
      <c r="F54" s="1"/>
      <c r="G54" s="1"/>
      <c r="H54" s="306"/>
      <c r="I54" s="273"/>
    </row>
    <row r="55" spans="2:17" ht="13.2" customHeight="1" x14ac:dyDescent="0.3">
      <c r="B55" s="1"/>
      <c r="C55" s="1"/>
      <c r="D55" s="1"/>
      <c r="E55" s="1"/>
      <c r="F55" s="1"/>
      <c r="G55" s="1"/>
      <c r="H55" s="306"/>
      <c r="I55" s="273"/>
    </row>
    <row r="56" spans="2:17" ht="13.2" customHeight="1" x14ac:dyDescent="0.3">
      <c r="B56" s="1"/>
      <c r="C56" s="1"/>
      <c r="D56" s="1"/>
      <c r="E56" s="1"/>
      <c r="F56" s="1"/>
      <c r="G56" s="1"/>
      <c r="H56" s="306"/>
      <c r="I56" s="273"/>
    </row>
    <row r="57" spans="2:17" ht="13.2" customHeight="1" x14ac:dyDescent="0.3">
      <c r="B57" s="1"/>
      <c r="C57" s="1"/>
      <c r="D57" s="1"/>
      <c r="E57" s="1"/>
      <c r="F57" s="1"/>
      <c r="G57" s="1"/>
      <c r="H57" s="306"/>
      <c r="I57" s="1"/>
      <c r="J57" s="1"/>
      <c r="K57" s="1"/>
      <c r="L57" s="1"/>
      <c r="M57" s="1"/>
      <c r="N57" s="1"/>
      <c r="O57" s="1"/>
      <c r="P57" s="1"/>
      <c r="Q57" s="1"/>
    </row>
    <row r="58" spans="2:17" ht="13.2" customHeight="1" x14ac:dyDescent="0.3">
      <c r="B58" s="1"/>
      <c r="C58" s="1"/>
      <c r="D58" s="1"/>
      <c r="E58" s="1"/>
      <c r="F58" s="1"/>
      <c r="G58" s="1"/>
      <c r="H58" s="306"/>
      <c r="I58" s="273"/>
    </row>
    <row r="59" spans="2:17" ht="13.2" customHeight="1" x14ac:dyDescent="0.3">
      <c r="B59" s="1"/>
      <c r="C59" s="1"/>
      <c r="D59" s="1"/>
      <c r="E59" s="1"/>
      <c r="F59" s="1"/>
      <c r="G59" s="1"/>
      <c r="H59" s="306"/>
      <c r="I59" s="273"/>
    </row>
    <row r="60" spans="2:17" ht="13.2" customHeight="1" x14ac:dyDescent="0.3">
      <c r="B60" s="1"/>
      <c r="C60" s="1"/>
      <c r="D60" s="1"/>
      <c r="E60" s="1"/>
      <c r="F60" s="1"/>
      <c r="G60" s="1"/>
      <c r="H60" s="306"/>
      <c r="I60" s="273"/>
    </row>
    <row r="61" spans="2:17" ht="13.2" customHeight="1" x14ac:dyDescent="0.3">
      <c r="B61" s="1"/>
      <c r="C61" s="1"/>
      <c r="D61" s="1"/>
      <c r="E61" s="1"/>
      <c r="F61" s="1"/>
      <c r="G61" s="1"/>
      <c r="H61" s="306"/>
      <c r="I61" s="273"/>
    </row>
    <row r="62" spans="2:17" ht="13.2" customHeight="1" x14ac:dyDescent="0.3">
      <c r="B62" s="1"/>
      <c r="C62" s="1"/>
      <c r="D62" s="1"/>
      <c r="E62" s="1"/>
      <c r="F62" s="1"/>
      <c r="G62" s="1"/>
      <c r="H62" s="306"/>
      <c r="I62" s="273"/>
    </row>
    <row r="63" spans="2:17" ht="13.2" customHeight="1" x14ac:dyDescent="0.3">
      <c r="B63" s="1"/>
      <c r="C63" s="1"/>
      <c r="D63" s="1"/>
      <c r="E63" s="1"/>
      <c r="F63" s="1"/>
      <c r="G63" s="1"/>
      <c r="H63" s="306"/>
      <c r="I63" s="273"/>
    </row>
    <row r="64" spans="2:17" ht="13.2" customHeight="1" x14ac:dyDescent="0.3">
      <c r="B64" s="1"/>
      <c r="C64" s="1"/>
      <c r="D64" s="1"/>
      <c r="E64" s="1"/>
      <c r="F64" s="1"/>
      <c r="G64" s="1"/>
      <c r="H64" s="306"/>
      <c r="I64" s="273"/>
    </row>
    <row r="65" spans="2:9" ht="13.2" customHeight="1" x14ac:dyDescent="0.3">
      <c r="B65" s="1"/>
      <c r="C65" s="1"/>
      <c r="D65" s="1"/>
      <c r="E65" s="1"/>
      <c r="F65" s="1"/>
      <c r="G65" s="1"/>
      <c r="H65" s="306"/>
      <c r="I65" s="273"/>
    </row>
    <row r="66" spans="2:9" ht="13.2" customHeight="1" x14ac:dyDescent="0.3">
      <c r="B66" s="1"/>
      <c r="C66" s="1"/>
      <c r="D66" s="1"/>
      <c r="E66" s="1"/>
      <c r="F66" s="1"/>
      <c r="G66" s="1"/>
      <c r="H66" s="306"/>
      <c r="I66" s="273"/>
    </row>
    <row r="67" spans="2:9" ht="13.2" customHeight="1" x14ac:dyDescent="0.3">
      <c r="B67" s="1"/>
      <c r="C67" s="1"/>
      <c r="D67" s="1"/>
      <c r="E67" s="1"/>
      <c r="F67" s="1"/>
      <c r="G67" s="1"/>
      <c r="H67" s="306"/>
      <c r="I67" s="273"/>
    </row>
    <row r="68" spans="2:9" ht="13.2" customHeight="1" x14ac:dyDescent="0.3">
      <c r="B68" s="1"/>
      <c r="C68" s="1"/>
      <c r="D68" s="1"/>
      <c r="E68" s="1"/>
      <c r="F68" s="1"/>
      <c r="G68" s="1"/>
      <c r="H68" s="306"/>
      <c r="I68" s="273"/>
    </row>
    <row r="69" spans="2:9" ht="13.2" customHeight="1" x14ac:dyDescent="0.3">
      <c r="B69" s="1"/>
      <c r="C69" s="1"/>
      <c r="D69" s="1"/>
      <c r="E69" s="1"/>
      <c r="F69" s="1"/>
      <c r="G69" s="1"/>
      <c r="H69" s="306"/>
      <c r="I69" s="273"/>
    </row>
    <row r="70" spans="2:9" ht="13.2" customHeight="1" x14ac:dyDescent="0.3">
      <c r="B70" s="1"/>
      <c r="C70" s="1"/>
      <c r="D70" s="1"/>
      <c r="E70" s="1"/>
      <c r="F70" s="1"/>
      <c r="G70" s="1"/>
      <c r="H70" s="306"/>
      <c r="I70" s="273"/>
    </row>
    <row r="71" spans="2:9" ht="13.2" customHeight="1" x14ac:dyDescent="0.3">
      <c r="B71" s="1"/>
      <c r="C71" s="1"/>
      <c r="D71" s="1"/>
      <c r="E71" s="1"/>
      <c r="F71" s="1"/>
      <c r="G71" s="1"/>
      <c r="H71" s="306"/>
      <c r="I71" s="273"/>
    </row>
    <row r="72" spans="2:9" ht="13.2" customHeight="1" x14ac:dyDescent="0.3">
      <c r="B72" s="1"/>
      <c r="C72" s="1"/>
      <c r="D72" s="1"/>
      <c r="E72" s="1"/>
      <c r="F72" s="1"/>
      <c r="G72" s="1"/>
      <c r="H72" s="306"/>
      <c r="I72" s="273"/>
    </row>
    <row r="73" spans="2:9" ht="13.2" customHeight="1" x14ac:dyDescent="0.3">
      <c r="B73" s="1"/>
      <c r="C73" s="1"/>
      <c r="D73" s="1"/>
      <c r="E73" s="1"/>
      <c r="F73" s="1"/>
      <c r="G73" s="1"/>
      <c r="H73" s="306"/>
      <c r="I73" s="273"/>
    </row>
    <row r="74" spans="2:9" ht="13.2" customHeight="1" x14ac:dyDescent="0.3">
      <c r="B74" s="1"/>
      <c r="C74" s="1"/>
      <c r="D74" s="1"/>
      <c r="E74" s="1"/>
      <c r="F74" s="1"/>
      <c r="G74" s="1"/>
      <c r="H74" s="306"/>
      <c r="I74" s="273"/>
    </row>
    <row r="75" spans="2:9" ht="13.2" customHeight="1" x14ac:dyDescent="0.3">
      <c r="B75" s="1"/>
      <c r="C75" s="1"/>
      <c r="D75" s="1"/>
      <c r="E75" s="1"/>
      <c r="F75" s="1"/>
      <c r="G75" s="1"/>
      <c r="H75" s="306"/>
      <c r="I75" s="273"/>
    </row>
    <row r="76" spans="2:9" ht="13.2" customHeight="1" x14ac:dyDescent="0.3">
      <c r="B76" s="1"/>
      <c r="C76" s="1"/>
      <c r="D76" s="1"/>
      <c r="E76" s="1"/>
      <c r="F76" s="1"/>
      <c r="G76" s="1"/>
      <c r="H76" s="306"/>
      <c r="I76" s="273"/>
    </row>
    <row r="77" spans="2:9" ht="13.2" customHeight="1" x14ac:dyDescent="0.3">
      <c r="B77" s="1"/>
      <c r="C77" s="1"/>
      <c r="D77" s="1"/>
      <c r="E77" s="1"/>
      <c r="F77" s="1"/>
      <c r="G77" s="1"/>
      <c r="H77" s="306"/>
      <c r="I77" s="273"/>
    </row>
    <row r="78" spans="2:9" ht="13.2" customHeight="1" x14ac:dyDescent="0.3">
      <c r="B78" s="1"/>
      <c r="C78" s="1"/>
      <c r="D78" s="1"/>
      <c r="E78" s="1"/>
      <c r="F78" s="1"/>
      <c r="G78" s="1"/>
      <c r="H78" s="306"/>
      <c r="I78" s="273"/>
    </row>
    <row r="79" spans="2:9" ht="13.2" customHeight="1" x14ac:dyDescent="0.3">
      <c r="B79" s="1"/>
      <c r="C79" s="1"/>
      <c r="D79" s="1"/>
      <c r="E79" s="1"/>
      <c r="F79" s="1"/>
      <c r="G79" s="1"/>
      <c r="H79" s="306"/>
      <c r="I79" s="273" t="s">
        <v>171</v>
      </c>
    </row>
    <row r="80" spans="2:9" ht="13.2" customHeight="1" x14ac:dyDescent="0.3">
      <c r="B80" s="1"/>
      <c r="C80" s="1"/>
      <c r="D80" s="1"/>
      <c r="E80" s="1"/>
      <c r="F80" s="1"/>
      <c r="G80" s="1"/>
      <c r="H80" s="306"/>
      <c r="I80" s="273"/>
    </row>
    <row r="81" spans="2:9" ht="13.2" customHeight="1" x14ac:dyDescent="0.3">
      <c r="B81" s="1"/>
      <c r="C81" s="1"/>
      <c r="D81" s="1"/>
      <c r="E81" s="1"/>
      <c r="F81" s="1"/>
      <c r="G81" s="1"/>
      <c r="H81" s="306"/>
      <c r="I81" s="273"/>
    </row>
    <row r="82" spans="2:9" ht="13.2" customHeight="1" x14ac:dyDescent="0.3">
      <c r="B82" s="1"/>
      <c r="C82" s="1"/>
      <c r="D82" s="1"/>
      <c r="E82" s="1"/>
      <c r="F82" s="1"/>
      <c r="G82" s="1"/>
      <c r="H82" s="306"/>
      <c r="I82" s="273"/>
    </row>
    <row r="83" spans="2:9" ht="13.2" customHeight="1" x14ac:dyDescent="0.3">
      <c r="B83" s="1"/>
      <c r="C83" s="1"/>
      <c r="D83" s="1"/>
      <c r="E83" s="1"/>
      <c r="F83" s="1"/>
      <c r="G83" s="1"/>
      <c r="H83" s="306"/>
      <c r="I83" s="273"/>
    </row>
    <row r="84" spans="2:9" ht="13.2" customHeight="1" x14ac:dyDescent="0.3">
      <c r="B84" s="1"/>
      <c r="C84" s="1"/>
      <c r="D84" s="1"/>
      <c r="E84" s="1"/>
      <c r="F84" s="1"/>
      <c r="G84" s="1"/>
      <c r="H84" s="306"/>
      <c r="I84" s="273"/>
    </row>
    <row r="85" spans="2:9" ht="13.2" customHeight="1" x14ac:dyDescent="0.3">
      <c r="B85" s="1"/>
      <c r="C85" s="1"/>
      <c r="D85" s="1"/>
      <c r="E85" s="1"/>
      <c r="F85" s="1"/>
      <c r="G85" s="1"/>
      <c r="H85" s="306"/>
      <c r="I85" s="273"/>
    </row>
    <row r="86" spans="2:9" ht="13.2" customHeight="1" x14ac:dyDescent="0.3">
      <c r="B86" s="1"/>
      <c r="C86" s="1"/>
      <c r="D86" s="1"/>
      <c r="E86" s="1"/>
      <c r="F86" s="1"/>
      <c r="G86" s="1"/>
      <c r="H86" s="306"/>
      <c r="I86" s="273"/>
    </row>
    <row r="87" spans="2:9" ht="13.2" customHeight="1" x14ac:dyDescent="0.3">
      <c r="B87" s="1"/>
      <c r="C87" s="1"/>
      <c r="D87" s="1"/>
      <c r="E87" s="1"/>
      <c r="F87" s="1"/>
      <c r="G87" s="1"/>
      <c r="H87" s="306"/>
      <c r="I87" s="273"/>
    </row>
    <row r="88" spans="2:9" ht="13.2" customHeight="1" x14ac:dyDescent="0.3">
      <c r="B88" s="1"/>
      <c r="C88" s="1"/>
      <c r="D88" s="1"/>
      <c r="E88" s="1"/>
      <c r="F88" s="1"/>
      <c r="G88" s="1"/>
      <c r="H88" s="306"/>
      <c r="I88" s="273"/>
    </row>
    <row r="89" spans="2:9" ht="13.2" customHeight="1" x14ac:dyDescent="0.3">
      <c r="B89" s="1"/>
      <c r="C89" s="1"/>
      <c r="D89" s="1"/>
      <c r="E89" s="1"/>
      <c r="F89" s="1"/>
      <c r="G89" s="1"/>
      <c r="H89" s="306"/>
      <c r="I89" s="273"/>
    </row>
    <row r="90" spans="2:9" ht="13.2" customHeight="1" x14ac:dyDescent="0.3">
      <c r="B90" s="1"/>
      <c r="C90" s="1"/>
      <c r="D90" s="1"/>
      <c r="E90" s="1"/>
      <c r="F90" s="1"/>
      <c r="G90" s="1"/>
      <c r="H90" s="306"/>
      <c r="I90" s="273"/>
    </row>
    <row r="91" spans="2:9" ht="13.2" customHeight="1" x14ac:dyDescent="0.3">
      <c r="B91" s="1"/>
      <c r="C91" s="1"/>
      <c r="D91" s="1"/>
      <c r="E91" s="1"/>
      <c r="F91" s="1"/>
      <c r="G91" s="1"/>
      <c r="H91" s="306"/>
      <c r="I91" s="273"/>
    </row>
    <row r="92" spans="2:9" ht="13.2" customHeight="1" x14ac:dyDescent="0.3">
      <c r="B92" s="1"/>
      <c r="C92" s="1"/>
      <c r="D92" s="1"/>
      <c r="E92" s="1"/>
      <c r="F92" s="1"/>
      <c r="G92" s="1"/>
      <c r="H92" s="306"/>
      <c r="I92" s="273"/>
    </row>
    <row r="93" spans="2:9" ht="13.2" customHeight="1" x14ac:dyDescent="0.3">
      <c r="B93" s="1"/>
      <c r="C93" s="1"/>
      <c r="D93" s="1"/>
      <c r="E93" s="1"/>
      <c r="F93" s="1"/>
      <c r="G93" s="1"/>
      <c r="H93" s="306"/>
      <c r="I93" s="273"/>
    </row>
    <row r="94" spans="2:9" ht="13.2" customHeight="1" x14ac:dyDescent="0.3">
      <c r="B94" s="1"/>
      <c r="C94" s="1"/>
      <c r="D94" s="1"/>
      <c r="E94" s="1"/>
      <c r="F94" s="1"/>
      <c r="G94" s="1"/>
      <c r="H94" s="306"/>
      <c r="I94" s="273"/>
    </row>
    <row r="95" spans="2:9" ht="13.2" customHeight="1" x14ac:dyDescent="0.3">
      <c r="B95" s="1"/>
      <c r="C95" s="1"/>
      <c r="D95" s="1"/>
      <c r="E95" s="1"/>
      <c r="F95" s="1"/>
      <c r="G95" s="1"/>
      <c r="H95" s="306"/>
      <c r="I95" s="273"/>
    </row>
    <row r="96" spans="2:9" ht="13.2" customHeight="1" x14ac:dyDescent="0.3">
      <c r="B96" s="1"/>
      <c r="C96" s="1"/>
      <c r="D96" s="1"/>
      <c r="E96" s="1"/>
      <c r="F96" s="1"/>
      <c r="G96" s="1"/>
      <c r="H96" s="306"/>
      <c r="I96" s="273"/>
    </row>
    <row r="97" spans="2:8" ht="13.2" customHeight="1" x14ac:dyDescent="0.3">
      <c r="B97" s="1"/>
      <c r="C97" s="1"/>
      <c r="D97" s="1"/>
      <c r="E97" s="1"/>
      <c r="F97" s="1"/>
      <c r="G97" s="1"/>
      <c r="H97" s="306"/>
    </row>
    <row r="98" spans="2:8" ht="13.2" customHeight="1" x14ac:dyDescent="0.3">
      <c r="B98" s="1"/>
      <c r="C98" s="1"/>
      <c r="D98" s="1"/>
      <c r="E98" s="1"/>
      <c r="F98" s="1"/>
      <c r="G98" s="1"/>
      <c r="H98" s="306"/>
    </row>
    <row r="99" spans="2:8" ht="13.2" customHeight="1" x14ac:dyDescent="0.3">
      <c r="B99" s="1"/>
      <c r="C99" s="1"/>
      <c r="D99" s="1"/>
      <c r="E99" s="1"/>
      <c r="F99" s="1"/>
      <c r="G99" s="1"/>
      <c r="H99" s="306"/>
    </row>
    <row r="100" spans="2:8" ht="13.2" customHeight="1" x14ac:dyDescent="0.3">
      <c r="B100" s="1"/>
      <c r="G100" s="1"/>
      <c r="H100" s="306"/>
    </row>
    <row r="101" spans="2:8" ht="13.2" customHeight="1" x14ac:dyDescent="0.3">
      <c r="B101" s="1"/>
      <c r="G101" s="1"/>
      <c r="H101" s="306"/>
    </row>
    <row r="102" spans="2:8" ht="13.2" customHeight="1" x14ac:dyDescent="0.3">
      <c r="G102" s="306"/>
      <c r="H102" s="306"/>
    </row>
  </sheetData>
  <sheetProtection algorithmName="SHA-512" hashValue="shGbz7WICIBIQN10smWsyxXz2AlHlqIFPBG+gdxX5/Ize95WhDzJ0Zw9UqISKLKg256hb9jx4HuzbBgm3wPL+A==" saltValue="dFzsF3L77ZZaEqYAEbgK7g==" spinCount="100000" sheet="1" objects="1" scenarios="1"/>
  <mergeCells count="1">
    <mergeCell ref="B2:H2"/>
  </mergeCells>
  <pageMargins left="0.7" right="0.7" top="0.99" bottom="0.75" header="0.3" footer="0.3"/>
  <pageSetup scale="71" orientation="landscape" r:id="rId1"/>
  <colBreaks count="1" manualBreakCount="1">
    <brk id="8" max="48"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8F418-5E69-4998-9DA4-07465B79B91A}">
  <dimension ref="A2:K12"/>
  <sheetViews>
    <sheetView showGridLines="0" zoomScale="122" zoomScaleNormal="122" workbookViewId="0">
      <selection activeCell="Q13" sqref="Q13"/>
    </sheetView>
  </sheetViews>
  <sheetFormatPr defaultRowHeight="14.4" x14ac:dyDescent="0.3"/>
  <cols>
    <col min="1" max="1" width="2.33203125" style="72" customWidth="1"/>
    <col min="2" max="2" width="13.88671875" customWidth="1"/>
    <col min="3" max="3" width="0.6640625" customWidth="1"/>
    <col min="4" max="4" width="9.5546875" customWidth="1"/>
    <col min="5" max="5" width="0.6640625" style="73" customWidth="1"/>
    <col min="6" max="6" width="9.77734375" bestFit="1" customWidth="1"/>
  </cols>
  <sheetData>
    <row r="2" spans="2:11" ht="22.2" customHeight="1" x14ac:dyDescent="0.4">
      <c r="B2" s="132" t="s">
        <v>192</v>
      </c>
      <c r="C2" s="132"/>
      <c r="D2" s="76"/>
      <c r="E2" s="76"/>
      <c r="F2" s="76"/>
      <c r="G2" s="76"/>
      <c r="H2" s="76"/>
      <c r="I2" s="76"/>
      <c r="J2" s="76"/>
      <c r="K2" s="76"/>
    </row>
    <row r="3" spans="2:11" ht="13.8" customHeight="1" x14ac:dyDescent="0.3"/>
    <row r="4" spans="2:11" x14ac:dyDescent="0.3">
      <c r="B4" s="133" t="s">
        <v>179</v>
      </c>
      <c r="C4" s="139"/>
      <c r="D4" s="133" t="s">
        <v>18</v>
      </c>
      <c r="E4" s="139" t="s">
        <v>180</v>
      </c>
      <c r="F4" s="134" t="s">
        <v>181</v>
      </c>
    </row>
    <row r="5" spans="2:11" x14ac:dyDescent="0.3">
      <c r="B5" s="74" t="s">
        <v>182</v>
      </c>
      <c r="D5" s="137">
        <f>'DCF (Sapphire)'!J56</f>
        <v>39.174715935669205</v>
      </c>
      <c r="E5" s="138">
        <f>'DCF (Sapphire)'!F60-'Valuation Summary'!D5</f>
        <v>42.313140999636367</v>
      </c>
      <c r="F5" s="136">
        <f>'DCF (Sapphire)'!H58</f>
        <v>54.943293704155742</v>
      </c>
    </row>
    <row r="6" spans="2:11" x14ac:dyDescent="0.3">
      <c r="B6" s="75" t="s">
        <v>184</v>
      </c>
      <c r="D6" s="137">
        <f>'Relative Valuation'!O33</f>
        <v>251.77975243025844</v>
      </c>
      <c r="E6" s="138">
        <f>'Relative Valuation'!N33-'Valuation Summary'!D6</f>
        <v>27.008819333800432</v>
      </c>
      <c r="F6" s="136">
        <f>AVERAGE('Relative Valuation'!N33:O33)</f>
        <v>265.28416209715863</v>
      </c>
    </row>
    <row r="7" spans="2:11" x14ac:dyDescent="0.3">
      <c r="B7" s="75" t="s">
        <v>183</v>
      </c>
      <c r="D7" s="137">
        <f>'DCF (Sapphire)'!C60</f>
        <v>222</v>
      </c>
      <c r="E7" s="138">
        <f>262-D7</f>
        <v>40</v>
      </c>
      <c r="F7" s="136">
        <f>(D7+262)/2</f>
        <v>242</v>
      </c>
    </row>
    <row r="9" spans="2:11" x14ac:dyDescent="0.3">
      <c r="B9" s="73" t="s">
        <v>185</v>
      </c>
      <c r="C9" s="73"/>
    </row>
    <row r="10" spans="2:11" x14ac:dyDescent="0.3">
      <c r="B10" s="135">
        <v>262</v>
      </c>
      <c r="C10" s="135"/>
    </row>
    <row r="11" spans="2:11" x14ac:dyDescent="0.3">
      <c r="B11" s="135">
        <v>262</v>
      </c>
      <c r="C11" s="135"/>
    </row>
    <row r="12" spans="2:11" x14ac:dyDescent="0.3">
      <c r="B12" s="135">
        <v>262</v>
      </c>
      <c r="C12" s="135"/>
    </row>
  </sheetData>
  <pageMargins left="1" right="1" top="2.8" bottom="1" header="0.5" footer="0.5"/>
  <pageSetup fitToWidth="0" orientation="portrait" r:id="rId1"/>
  <ignoredErrors>
    <ignoredError sqref="D5:F5 D6:F7" unlocked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COVER</vt:lpstr>
      <vt:lpstr>Relative Valuation</vt:lpstr>
      <vt:lpstr>DCF (Sapphire)</vt:lpstr>
      <vt:lpstr>DCF (Devyani)</vt:lpstr>
      <vt:lpstr>Share Swap &amp; Deal Terms</vt:lpstr>
      <vt:lpstr>Accretion &amp; Dilution</vt:lpstr>
      <vt:lpstr>Valuation Summary</vt:lpstr>
      <vt:lpstr>'Accretion &amp; Dilution'!Print_Area</vt:lpstr>
      <vt:lpstr>'DCF (Devyani)'!Print_Area</vt:lpstr>
      <vt:lpstr>'DCF (Sapphire)'!Print_Area</vt:lpstr>
      <vt:lpstr>'Relative Valuation'!Print_Area</vt:lpstr>
      <vt:lpstr>'Share Swap &amp; Deal Terms'!Print_Area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Anvay Gulwe</dc:creator>
  <cp:lastModifiedBy>Anvay Gulwe</cp:lastModifiedBy>
  <cp:lastPrinted>2026-01-13T06:16:07Z</cp:lastPrinted>
  <dcterms:created xsi:type="dcterms:W3CDTF">2026-01-08T14:11:53Z</dcterms:created>
  <dcterms:modified xsi:type="dcterms:W3CDTF">2026-01-13T10:29:44Z</dcterms:modified>
</cp:coreProperties>
</file>