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C:\Users\Anvay\Videos\Youtube Content\Backgrounds\"/>
    </mc:Choice>
  </mc:AlternateContent>
  <xr:revisionPtr revIDLastSave="0" documentId="13_ncr:1_{5C81B2B9-2E21-4625-8C82-34031970F138}" xr6:coauthVersionLast="47" xr6:coauthVersionMax="47" xr10:uidLastSave="{00000000-0000-0000-0000-000000000000}"/>
  <bookViews>
    <workbookView xWindow="-108" yWindow="-108" windowWidth="23256" windowHeight="12456" xr2:uid="{00000000-000D-0000-FFFF-FFFF00000000}"/>
  </bookViews>
  <sheets>
    <sheet name="Dupont  Analysis" sheetId="7" r:id="rId1"/>
    <sheet name="Profit &amp; Loss" sheetId="1" r:id="rId2"/>
    <sheet name="Quarters" sheetId="3" r:id="rId3"/>
    <sheet name="Balance Sheet" sheetId="2" r:id="rId4"/>
    <sheet name="Cash Flow" sheetId="4" r:id="rId5"/>
    <sheet name="Data Sheet" sheetId="6" r:id="rId6"/>
  </sheets>
  <definedNames>
    <definedName name="_xlnm.Print_Area" localSheetId="0">'Dupont  Analysis'!$A$1:$I$117</definedName>
    <definedName name="UPDATE">'Data Sheet'!$E$1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7" i="7" l="1"/>
  <c r="B74" i="7"/>
  <c r="B73" i="7"/>
  <c r="B69" i="7"/>
  <c r="F66" i="7"/>
  <c r="F69" i="7" s="1"/>
  <c r="I66" i="7"/>
  <c r="I69" i="7" s="1"/>
  <c r="C66" i="7"/>
  <c r="C88" i="7" s="1"/>
  <c r="C91" i="7" s="1"/>
  <c r="B65" i="7"/>
  <c r="F58" i="7"/>
  <c r="F65" i="7" s="1"/>
  <c r="E57" i="7"/>
  <c r="E64" i="7" s="1"/>
  <c r="C6" i="3"/>
  <c r="D6" i="3"/>
  <c r="E6" i="3"/>
  <c r="F6" i="3"/>
  <c r="G6" i="3"/>
  <c r="G14" i="3" s="1"/>
  <c r="H6" i="3"/>
  <c r="H14" i="3" s="1"/>
  <c r="I6" i="3"/>
  <c r="J6" i="3"/>
  <c r="K6" i="3"/>
  <c r="B6" i="3"/>
  <c r="C5" i="1"/>
  <c r="C6" i="1" s="1"/>
  <c r="C19" i="1" s="1"/>
  <c r="D5" i="1"/>
  <c r="E5" i="1"/>
  <c r="F5" i="1"/>
  <c r="G5" i="1"/>
  <c r="H5" i="1"/>
  <c r="I5" i="1"/>
  <c r="J5" i="1"/>
  <c r="K5" i="1"/>
  <c r="B5" i="1"/>
  <c r="B6" i="6"/>
  <c r="C17" i="2"/>
  <c r="C20" i="2" s="1"/>
  <c r="D17" i="2"/>
  <c r="E17" i="2"/>
  <c r="F17" i="2"/>
  <c r="G17" i="2"/>
  <c r="H17" i="2"/>
  <c r="I17" i="2"/>
  <c r="J17" i="2"/>
  <c r="K17" i="2"/>
  <c r="K20" i="2" s="1"/>
  <c r="C18" i="2"/>
  <c r="D18" i="2"/>
  <c r="E18" i="2"/>
  <c r="E21" i="2" s="1"/>
  <c r="F18" i="2"/>
  <c r="G18" i="2"/>
  <c r="H18" i="2"/>
  <c r="I18" i="2"/>
  <c r="I21" i="2" s="1"/>
  <c r="J18" i="2"/>
  <c r="K18" i="2"/>
  <c r="B17" i="2"/>
  <c r="C4" i="2"/>
  <c r="D4" i="2"/>
  <c r="E4" i="2"/>
  <c r="E23" i="2" s="1"/>
  <c r="E5" i="2"/>
  <c r="F4" i="2"/>
  <c r="D59" i="7" s="1"/>
  <c r="G4" i="2"/>
  <c r="E59" i="7" s="1"/>
  <c r="H4" i="2"/>
  <c r="F59" i="7" s="1"/>
  <c r="I4" i="2"/>
  <c r="I5" i="2"/>
  <c r="J4" i="2"/>
  <c r="J5" i="2"/>
  <c r="J23" i="2" s="1"/>
  <c r="K4" i="2"/>
  <c r="I59" i="7" s="1"/>
  <c r="I74" i="7" s="1"/>
  <c r="C5" i="2"/>
  <c r="D5" i="2"/>
  <c r="F5" i="2"/>
  <c r="G5" i="2"/>
  <c r="H5" i="2"/>
  <c r="H23" i="2" s="1"/>
  <c r="K5" i="2"/>
  <c r="C6" i="2"/>
  <c r="D6" i="2"/>
  <c r="E6" i="2"/>
  <c r="F6" i="2"/>
  <c r="G6" i="2"/>
  <c r="H6" i="2"/>
  <c r="I6" i="2"/>
  <c r="J6" i="2"/>
  <c r="K6" i="2"/>
  <c r="C7" i="2"/>
  <c r="D7" i="2"/>
  <c r="E7" i="2"/>
  <c r="F7" i="2"/>
  <c r="G7" i="2"/>
  <c r="G16" i="2" s="1"/>
  <c r="H7" i="2"/>
  <c r="I7" i="2"/>
  <c r="J7" i="2"/>
  <c r="K7" i="2"/>
  <c r="C8" i="2"/>
  <c r="D8" i="2"/>
  <c r="E8" i="2"/>
  <c r="F8" i="2"/>
  <c r="G8" i="2"/>
  <c r="H8" i="2"/>
  <c r="I8" i="2"/>
  <c r="J8" i="2"/>
  <c r="K8" i="2"/>
  <c r="C10" i="2"/>
  <c r="D10" i="2"/>
  <c r="E10" i="2"/>
  <c r="F10" i="2"/>
  <c r="G10" i="2"/>
  <c r="H10" i="2"/>
  <c r="I10" i="2"/>
  <c r="J10" i="2"/>
  <c r="K10" i="2"/>
  <c r="C11" i="2"/>
  <c r="D11" i="2"/>
  <c r="E11" i="2"/>
  <c r="F11" i="2"/>
  <c r="G11" i="2"/>
  <c r="H11" i="2"/>
  <c r="I11" i="2"/>
  <c r="J11" i="2"/>
  <c r="K11" i="2"/>
  <c r="C12" i="2"/>
  <c r="D12" i="2"/>
  <c r="E12" i="2"/>
  <c r="F12" i="2"/>
  <c r="G12" i="2"/>
  <c r="H12" i="2"/>
  <c r="I12" i="2"/>
  <c r="J12" i="2"/>
  <c r="K12" i="2"/>
  <c r="C13" i="2"/>
  <c r="C16" i="2" s="1"/>
  <c r="D13" i="2"/>
  <c r="E13" i="2"/>
  <c r="E16" i="2" s="1"/>
  <c r="F13" i="2"/>
  <c r="F16" i="2" s="1"/>
  <c r="G13" i="2"/>
  <c r="H13" i="2"/>
  <c r="I13" i="2"/>
  <c r="J13" i="2"/>
  <c r="K13" i="2"/>
  <c r="K16" i="2" s="1"/>
  <c r="C14" i="2"/>
  <c r="D14" i="2"/>
  <c r="E14" i="2"/>
  <c r="C70" i="7" s="1"/>
  <c r="C82" i="7" s="1"/>
  <c r="C92" i="7" s="1"/>
  <c r="F14" i="2"/>
  <c r="D70" i="7" s="1"/>
  <c r="D73" i="7" s="1"/>
  <c r="G14" i="2"/>
  <c r="E70" i="7" s="1"/>
  <c r="E82" i="7" s="1"/>
  <c r="E92" i="7" s="1"/>
  <c r="H14" i="2"/>
  <c r="F70" i="7" s="1"/>
  <c r="F73" i="7" s="1"/>
  <c r="I14" i="2"/>
  <c r="G70" i="7" s="1"/>
  <c r="G82" i="7" s="1"/>
  <c r="J14" i="2"/>
  <c r="H70" i="7" s="1"/>
  <c r="H73" i="7" s="1"/>
  <c r="K14" i="2"/>
  <c r="I70" i="7" s="1"/>
  <c r="I73" i="7" s="1"/>
  <c r="B14" i="2"/>
  <c r="B5" i="2"/>
  <c r="B23" i="2" s="1"/>
  <c r="B4" i="2"/>
  <c r="C4" i="4"/>
  <c r="D4" i="4"/>
  <c r="E4" i="4"/>
  <c r="F4" i="4"/>
  <c r="G4" i="4"/>
  <c r="H4" i="4"/>
  <c r="I4" i="4"/>
  <c r="J4" i="4"/>
  <c r="K4" i="4"/>
  <c r="C5" i="4"/>
  <c r="D5" i="4"/>
  <c r="E5" i="4"/>
  <c r="F5" i="4"/>
  <c r="G5" i="4"/>
  <c r="H5" i="4"/>
  <c r="I5" i="4"/>
  <c r="J5" i="4"/>
  <c r="K5" i="4"/>
  <c r="C6" i="4"/>
  <c r="D6" i="4"/>
  <c r="E6" i="4"/>
  <c r="F6" i="4"/>
  <c r="G6" i="4"/>
  <c r="H6" i="4"/>
  <c r="I6" i="4"/>
  <c r="J6" i="4"/>
  <c r="K6" i="4"/>
  <c r="C7" i="4"/>
  <c r="D7" i="4"/>
  <c r="E7" i="4"/>
  <c r="F7" i="4"/>
  <c r="G7" i="4"/>
  <c r="H7" i="4"/>
  <c r="I7" i="4"/>
  <c r="J7" i="4"/>
  <c r="K7" i="4"/>
  <c r="C4" i="3"/>
  <c r="D4" i="3"/>
  <c r="E4" i="3"/>
  <c r="F4" i="3"/>
  <c r="G4" i="3"/>
  <c r="H4" i="3"/>
  <c r="I4" i="3"/>
  <c r="J4" i="3"/>
  <c r="J14" i="3" s="1"/>
  <c r="K4" i="3"/>
  <c r="C5" i="3"/>
  <c r="D5" i="3"/>
  <c r="E5" i="3"/>
  <c r="F5" i="3"/>
  <c r="G5" i="3"/>
  <c r="H5" i="3"/>
  <c r="L5" i="1" s="1"/>
  <c r="I5" i="3"/>
  <c r="J5" i="3"/>
  <c r="K5" i="3"/>
  <c r="C7" i="3"/>
  <c r="D7" i="3"/>
  <c r="E7" i="3"/>
  <c r="F7" i="3"/>
  <c r="G7" i="3"/>
  <c r="H7" i="3"/>
  <c r="I7" i="3"/>
  <c r="J7" i="3"/>
  <c r="K7" i="3"/>
  <c r="C8" i="3"/>
  <c r="D8" i="3"/>
  <c r="E8" i="3"/>
  <c r="F8" i="3"/>
  <c r="G8" i="3"/>
  <c r="H8" i="3"/>
  <c r="I8" i="3"/>
  <c r="J8" i="3"/>
  <c r="K8" i="3"/>
  <c r="C9" i="3"/>
  <c r="D9" i="3"/>
  <c r="E9" i="3"/>
  <c r="F9" i="3"/>
  <c r="G9" i="3"/>
  <c r="H9" i="3"/>
  <c r="I9" i="3"/>
  <c r="J9" i="3"/>
  <c r="K9" i="3"/>
  <c r="C10" i="3"/>
  <c r="D10" i="3"/>
  <c r="E10" i="3"/>
  <c r="F10" i="3"/>
  <c r="G10" i="3"/>
  <c r="H10" i="3"/>
  <c r="L10" i="1" s="1"/>
  <c r="N11" i="1" s="1"/>
  <c r="I10" i="3"/>
  <c r="J10" i="3"/>
  <c r="K10" i="3"/>
  <c r="C11" i="3"/>
  <c r="D11" i="3"/>
  <c r="E11" i="3"/>
  <c r="F11" i="3"/>
  <c r="G11" i="3"/>
  <c r="H11" i="3"/>
  <c r="I11" i="3"/>
  <c r="J11" i="3"/>
  <c r="K11" i="3"/>
  <c r="C12" i="3"/>
  <c r="D12" i="3"/>
  <c r="E12" i="3"/>
  <c r="F12" i="3"/>
  <c r="G12" i="3"/>
  <c r="H12" i="3"/>
  <c r="I12" i="3"/>
  <c r="J12" i="3"/>
  <c r="K12" i="3"/>
  <c r="B5" i="3"/>
  <c r="C18" i="1"/>
  <c r="D18" i="1"/>
  <c r="E18" i="1"/>
  <c r="F18" i="1"/>
  <c r="G18" i="1"/>
  <c r="H18" i="1"/>
  <c r="I18" i="1"/>
  <c r="J18" i="1"/>
  <c r="K18" i="1"/>
  <c r="B18" i="1"/>
  <c r="C4" i="1"/>
  <c r="D4" i="1"/>
  <c r="E4" i="1"/>
  <c r="F4" i="1"/>
  <c r="F20" i="2" s="1"/>
  <c r="G4" i="1"/>
  <c r="G6" i="1" s="1"/>
  <c r="G19" i="1" s="1"/>
  <c r="H4" i="1"/>
  <c r="I4" i="1"/>
  <c r="G66" i="7" s="1"/>
  <c r="G88" i="7" s="1"/>
  <c r="G91" i="7" s="1"/>
  <c r="J4" i="1"/>
  <c r="H66" i="7" s="1"/>
  <c r="H69" i="7" s="1"/>
  <c r="K4" i="1"/>
  <c r="C7" i="1"/>
  <c r="D7" i="1"/>
  <c r="E7" i="1"/>
  <c r="F7" i="1"/>
  <c r="G7" i="1"/>
  <c r="H7" i="1"/>
  <c r="I7" i="1"/>
  <c r="J7" i="1"/>
  <c r="K7" i="1"/>
  <c r="C8" i="1"/>
  <c r="D8" i="1"/>
  <c r="E8" i="1"/>
  <c r="F8" i="1"/>
  <c r="G8" i="1"/>
  <c r="H8" i="1"/>
  <c r="I8" i="1"/>
  <c r="J8" i="1"/>
  <c r="K8" i="1"/>
  <c r="C9" i="1"/>
  <c r="D9" i="1"/>
  <c r="E9" i="1"/>
  <c r="F9" i="1"/>
  <c r="G9" i="1"/>
  <c r="H9" i="1"/>
  <c r="I9" i="1"/>
  <c r="J9" i="1"/>
  <c r="K9" i="1"/>
  <c r="C10" i="1"/>
  <c r="D10" i="1"/>
  <c r="E10" i="1"/>
  <c r="F10" i="1"/>
  <c r="G10" i="1"/>
  <c r="H10" i="1"/>
  <c r="I10" i="1"/>
  <c r="J10" i="1"/>
  <c r="K10" i="1"/>
  <c r="C11" i="1"/>
  <c r="D11" i="1"/>
  <c r="E11" i="1"/>
  <c r="F11" i="1"/>
  <c r="G11" i="1"/>
  <c r="H11" i="1"/>
  <c r="I11" i="1"/>
  <c r="J11" i="1"/>
  <c r="K11" i="1"/>
  <c r="C12" i="1"/>
  <c r="C13" i="1" s="1"/>
  <c r="D12" i="1"/>
  <c r="E12" i="1"/>
  <c r="C58" i="7" s="1"/>
  <c r="C65" i="7" s="1"/>
  <c r="F12" i="1"/>
  <c r="F13" i="1" s="1"/>
  <c r="G12" i="1"/>
  <c r="G13" i="1" s="1"/>
  <c r="H12" i="1"/>
  <c r="H13" i="1" s="1"/>
  <c r="I12" i="1"/>
  <c r="I13" i="1" s="1"/>
  <c r="J12" i="1"/>
  <c r="J13" i="1" s="1"/>
  <c r="K12" i="1"/>
  <c r="K13" i="1" s="1"/>
  <c r="C15" i="1"/>
  <c r="C14" i="1" s="1"/>
  <c r="D15" i="1"/>
  <c r="E15" i="1"/>
  <c r="F15" i="1"/>
  <c r="G15" i="1"/>
  <c r="H15" i="1"/>
  <c r="I15" i="1"/>
  <c r="J15" i="1"/>
  <c r="K15" i="1"/>
  <c r="B15" i="1"/>
  <c r="B7" i="1"/>
  <c r="B4" i="1"/>
  <c r="B20" i="2" s="1"/>
  <c r="A1" i="1"/>
  <c r="A1" i="2" s="1"/>
  <c r="A1" i="4" s="1"/>
  <c r="E1" i="6"/>
  <c r="H1" i="1" s="1"/>
  <c r="E1" i="2"/>
  <c r="E1" i="3"/>
  <c r="H16" i="2"/>
  <c r="D16" i="2"/>
  <c r="G23" i="2"/>
  <c r="E6" i="1"/>
  <c r="E19" i="1" s="1"/>
  <c r="D23" i="2"/>
  <c r="K6" i="1"/>
  <c r="K19" i="1" s="1"/>
  <c r="D6" i="1"/>
  <c r="D19" i="1"/>
  <c r="C3" i="4"/>
  <c r="D3" i="4"/>
  <c r="E3" i="4"/>
  <c r="F3" i="4"/>
  <c r="G3" i="4"/>
  <c r="H3" i="4"/>
  <c r="I3" i="4"/>
  <c r="J3" i="4"/>
  <c r="K3" i="4"/>
  <c r="C3" i="2"/>
  <c r="D3" i="2"/>
  <c r="E3" i="2"/>
  <c r="F3" i="2"/>
  <c r="G3" i="2"/>
  <c r="H3" i="2"/>
  <c r="I3" i="2"/>
  <c r="J3" i="2"/>
  <c r="K3" i="2"/>
  <c r="C3" i="3"/>
  <c r="D3" i="3"/>
  <c r="E3" i="3"/>
  <c r="F3" i="3"/>
  <c r="G3" i="3"/>
  <c r="H3" i="3"/>
  <c r="I3" i="3"/>
  <c r="J3" i="3"/>
  <c r="K3" i="3"/>
  <c r="C3" i="1"/>
  <c r="D3" i="1"/>
  <c r="E3" i="1"/>
  <c r="C57" i="7" s="1"/>
  <c r="C64" i="7" s="1"/>
  <c r="F3" i="1"/>
  <c r="D57" i="7" s="1"/>
  <c r="D64" i="7" s="1"/>
  <c r="G3" i="1"/>
  <c r="H3" i="1"/>
  <c r="F57" i="7" s="1"/>
  <c r="F64" i="7" s="1"/>
  <c r="I3" i="1"/>
  <c r="G57" i="7" s="1"/>
  <c r="G64" i="7" s="1"/>
  <c r="J3" i="1"/>
  <c r="H57" i="7" s="1"/>
  <c r="H64" i="7" s="1"/>
  <c r="K3" i="1"/>
  <c r="I57" i="7" s="1"/>
  <c r="I64" i="7" s="1"/>
  <c r="B7" i="4"/>
  <c r="B6" i="4"/>
  <c r="B5" i="4"/>
  <c r="B4" i="4"/>
  <c r="B3" i="4"/>
  <c r="K21" i="2"/>
  <c r="J21" i="2"/>
  <c r="H21" i="2"/>
  <c r="F21" i="2"/>
  <c r="D21" i="2"/>
  <c r="C21" i="2"/>
  <c r="B18" i="2"/>
  <c r="B21" i="2" s="1"/>
  <c r="B13" i="2"/>
  <c r="B12" i="2"/>
  <c r="B11" i="2"/>
  <c r="B10" i="2"/>
  <c r="B8" i="2"/>
  <c r="B7" i="2"/>
  <c r="B6" i="2"/>
  <c r="B3" i="2"/>
  <c r="F14" i="3"/>
  <c r="B12" i="3"/>
  <c r="B11" i="3"/>
  <c r="B10" i="3"/>
  <c r="B9" i="3"/>
  <c r="B8" i="3"/>
  <c r="B7" i="3"/>
  <c r="B4" i="3"/>
  <c r="B14" i="3" s="1"/>
  <c r="B3" i="3"/>
  <c r="L15" i="1"/>
  <c r="B12" i="1"/>
  <c r="B13" i="1" s="1"/>
  <c r="B11" i="1"/>
  <c r="B10" i="1"/>
  <c r="B9" i="1"/>
  <c r="B8" i="1"/>
  <c r="B3" i="1"/>
  <c r="E14" i="3"/>
  <c r="I14" i="3"/>
  <c r="D20" i="2"/>
  <c r="J20" i="2"/>
  <c r="E20" i="2"/>
  <c r="L12" i="1"/>
  <c r="L13" i="1" s="1"/>
  <c r="L11" i="1"/>
  <c r="A1" i="3"/>
  <c r="H23" i="1"/>
  <c r="I23" i="1"/>
  <c r="I23" i="2" l="1"/>
  <c r="L4" i="1"/>
  <c r="L23" i="1" s="1"/>
  <c r="C59" i="7"/>
  <c r="C74" i="7" s="1"/>
  <c r="L6" i="1"/>
  <c r="L19" i="1" s="1"/>
  <c r="L24" i="1" s="1"/>
  <c r="J6" i="1"/>
  <c r="J19" i="1" s="1"/>
  <c r="F23" i="2"/>
  <c r="G14" i="1"/>
  <c r="J23" i="1"/>
  <c r="N23" i="1" s="1"/>
  <c r="N4" i="1" s="1"/>
  <c r="B6" i="1"/>
  <c r="B19" i="1" s="1"/>
  <c r="I6" i="1"/>
  <c r="I19" i="1" s="1"/>
  <c r="F14" i="1"/>
  <c r="D58" i="7"/>
  <c r="D81" i="7" s="1"/>
  <c r="D87" i="7" s="1"/>
  <c r="E58" i="7"/>
  <c r="E81" i="7" s="1"/>
  <c r="E87" i="7" s="1"/>
  <c r="L14" i="1"/>
  <c r="L25" i="1" s="1"/>
  <c r="G21" i="2"/>
  <c r="G59" i="7"/>
  <c r="G74" i="7" s="1"/>
  <c r="F71" i="7"/>
  <c r="K14" i="1"/>
  <c r="L9" i="1"/>
  <c r="L8" i="1"/>
  <c r="D14" i="3"/>
  <c r="G58" i="7"/>
  <c r="G81" i="7" s="1"/>
  <c r="G87" i="7" s="1"/>
  <c r="H59" i="7"/>
  <c r="H74" i="7" s="1"/>
  <c r="H75" i="7" s="1"/>
  <c r="E66" i="7"/>
  <c r="E69" i="7" s="1"/>
  <c r="E71" i="7" s="1"/>
  <c r="J14" i="1"/>
  <c r="K14" i="3"/>
  <c r="C14" i="3"/>
  <c r="H58" i="7"/>
  <c r="H65" i="7" s="1"/>
  <c r="H67" i="7" s="1"/>
  <c r="D66" i="7"/>
  <c r="D69" i="7" s="1"/>
  <c r="D71" i="7" s="1"/>
  <c r="I58" i="7"/>
  <c r="I81" i="7" s="1"/>
  <c r="E60" i="7"/>
  <c r="G89" i="7"/>
  <c r="H71" i="7"/>
  <c r="F81" i="7"/>
  <c r="F87" i="7" s="1"/>
  <c r="C73" i="7"/>
  <c r="C75" i="7" s="1"/>
  <c r="C67" i="7"/>
  <c r="D60" i="7"/>
  <c r="I71" i="7"/>
  <c r="C69" i="7"/>
  <c r="C71" i="7" s="1"/>
  <c r="C81" i="7"/>
  <c r="C83" i="7" s="1"/>
  <c r="C60" i="7"/>
  <c r="I82" i="7"/>
  <c r="I92" i="7" s="1"/>
  <c r="C80" i="7"/>
  <c r="C86" i="7" s="1"/>
  <c r="F88" i="7"/>
  <c r="F91" i="7" s="1"/>
  <c r="H60" i="7"/>
  <c r="I80" i="7"/>
  <c r="I86" i="7" s="1"/>
  <c r="H80" i="7"/>
  <c r="H86" i="7" s="1"/>
  <c r="G80" i="7"/>
  <c r="G86" i="7" s="1"/>
  <c r="G92" i="7"/>
  <c r="G93" i="7" s="1"/>
  <c r="C93" i="7"/>
  <c r="D82" i="7"/>
  <c r="D92" i="7" s="1"/>
  <c r="G69" i="7"/>
  <c r="G71" i="7" s="1"/>
  <c r="I65" i="7"/>
  <c r="I67" i="7" s="1"/>
  <c r="G73" i="7"/>
  <c r="E73" i="7"/>
  <c r="I88" i="7"/>
  <c r="I91" i="7" s="1"/>
  <c r="F67" i="7"/>
  <c r="D65" i="7"/>
  <c r="D67" i="7" s="1"/>
  <c r="I75" i="7"/>
  <c r="E80" i="7"/>
  <c r="E86" i="7" s="1"/>
  <c r="F82" i="7"/>
  <c r="H82" i="7"/>
  <c r="H92" i="7" s="1"/>
  <c r="H88" i="7"/>
  <c r="H91" i="7" s="1"/>
  <c r="H93" i="7" s="1"/>
  <c r="E65" i="7"/>
  <c r="F80" i="7"/>
  <c r="F86" i="7" s="1"/>
  <c r="E74" i="7"/>
  <c r="D80" i="7"/>
  <c r="D86" i="7" s="1"/>
  <c r="D74" i="7"/>
  <c r="D75" i="7" s="1"/>
  <c r="F60" i="7"/>
  <c r="F74" i="7"/>
  <c r="F75" i="7" s="1"/>
  <c r="F77" i="7" s="1"/>
  <c r="J16" i="2"/>
  <c r="E24" i="2"/>
  <c r="C23" i="2"/>
  <c r="J24" i="2"/>
  <c r="D24" i="2"/>
  <c r="G20" i="2"/>
  <c r="B16" i="2"/>
  <c r="M11" i="1"/>
  <c r="I24" i="2"/>
  <c r="K23" i="2"/>
  <c r="I14" i="1"/>
  <c r="K25" i="1" s="1"/>
  <c r="M25" i="1" s="1"/>
  <c r="M14" i="1" s="1"/>
  <c r="C24" i="2"/>
  <c r="H24" i="2"/>
  <c r="H14" i="1"/>
  <c r="G24" i="2"/>
  <c r="D13" i="1"/>
  <c r="E13" i="1" s="1"/>
  <c r="E14" i="1" s="1"/>
  <c r="I25" i="1" s="1"/>
  <c r="K24" i="1"/>
  <c r="M24" i="1" s="1"/>
  <c r="L7" i="1"/>
  <c r="B14" i="1"/>
  <c r="I16" i="2"/>
  <c r="K24" i="2"/>
  <c r="F24" i="2"/>
  <c r="J25" i="1"/>
  <c r="M9" i="1"/>
  <c r="N9" i="1"/>
  <c r="N8" i="1"/>
  <c r="M8" i="1"/>
  <c r="I20" i="2"/>
  <c r="H20" i="2"/>
  <c r="K23" i="1"/>
  <c r="M23" i="1" s="1"/>
  <c r="M4" i="1" s="1"/>
  <c r="H6" i="1"/>
  <c r="H19" i="1" s="1"/>
  <c r="J24" i="1" s="1"/>
  <c r="F6" i="1"/>
  <c r="F19" i="1" s="1"/>
  <c r="I24" i="1" s="1"/>
  <c r="E1" i="4"/>
  <c r="E67" i="7" l="1"/>
  <c r="E83" i="7"/>
  <c r="G65" i="7"/>
  <c r="G67" i="7" s="1"/>
  <c r="H81" i="7"/>
  <c r="H83" i="7" s="1"/>
  <c r="G60" i="7"/>
  <c r="E88" i="7"/>
  <c r="E91" i="7" s="1"/>
  <c r="E93" i="7" s="1"/>
  <c r="D88" i="7"/>
  <c r="D91" i="7" s="1"/>
  <c r="D93" i="7" s="1"/>
  <c r="I60" i="7"/>
  <c r="G75" i="7"/>
  <c r="G83" i="7"/>
  <c r="G95" i="7"/>
  <c r="H77" i="7"/>
  <c r="C77" i="7"/>
  <c r="E89" i="7"/>
  <c r="E95" i="7" s="1"/>
  <c r="C87" i="7"/>
  <c r="C89" i="7" s="1"/>
  <c r="C95" i="7" s="1"/>
  <c r="I77" i="7"/>
  <c r="F89" i="7"/>
  <c r="D77" i="7"/>
  <c r="I93" i="7"/>
  <c r="G77" i="7"/>
  <c r="F92" i="7"/>
  <c r="F93" i="7" s="1"/>
  <c r="F83" i="7"/>
  <c r="E75" i="7"/>
  <c r="E77" i="7" s="1"/>
  <c r="I87" i="7"/>
  <c r="I89" i="7" s="1"/>
  <c r="I83" i="7"/>
  <c r="D83" i="7"/>
  <c r="H24" i="1"/>
  <c r="N24" i="1" s="1"/>
  <c r="N6" i="1" s="1"/>
  <c r="D14" i="1"/>
  <c r="H25" i="1" s="1"/>
  <c r="N25" i="1" s="1"/>
  <c r="N14" i="1" s="1"/>
  <c r="M6" i="1"/>
  <c r="M10" i="1" s="1"/>
  <c r="M12" i="1" s="1"/>
  <c r="M13" i="1" s="1"/>
  <c r="M15" i="1" s="1"/>
  <c r="D89" i="7" l="1"/>
  <c r="D95" i="7" s="1"/>
  <c r="H87" i="7"/>
  <c r="H89" i="7" s="1"/>
  <c r="H95" i="7" s="1"/>
  <c r="I95" i="7"/>
  <c r="F95" i="7"/>
  <c r="N10" i="1"/>
  <c r="N12" i="1" s="1"/>
  <c r="N13" i="1" s="1"/>
  <c r="N15" i="1" s="1"/>
  <c r="N5" i="1"/>
  <c r="M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Anvay</author>
  </authors>
  <commentList>
    <comment ref="I60" authorId="0" shapeId="0" xr:uid="{B408CCFC-4FA3-4B50-98C5-B86EB51BF942}">
      <text>
        <r>
          <rPr>
            <b/>
            <sz val="9"/>
            <color indexed="81"/>
            <rFont val="Tahoma"/>
            <family val="2"/>
          </rPr>
          <t>Anvay:</t>
        </r>
        <r>
          <rPr>
            <sz val="9"/>
            <color indexed="81"/>
            <rFont val="Tahoma"/>
            <family val="2"/>
          </rPr>
          <t xml:space="preserve">
The company earned ₹18.05 in profit for every ₹100 invested by shareholders. A solid 18% return on equity.</t>
        </r>
      </text>
    </comment>
    <comment ref="I67" authorId="0" shapeId="0" xr:uid="{D17D69C2-14B3-4CFF-9F55-93201E54BE52}">
      <text>
        <r>
          <rPr>
            <b/>
            <sz val="9"/>
            <color indexed="81"/>
            <rFont val="Tahoma"/>
            <family val="2"/>
          </rPr>
          <t>Anvay:</t>
        </r>
        <r>
          <rPr>
            <sz val="9"/>
            <color indexed="81"/>
            <rFont val="Tahoma"/>
            <family val="2"/>
          </rPr>
          <t xml:space="preserve">
For every ₹100 in sales, the company keeps ₹8.12 as profit.
This shows strong cost control and efficiency. Margins have improved from 2.4% in FY21 to over 8% now.</t>
        </r>
      </text>
    </comment>
    <comment ref="I71" authorId="0" shapeId="0" xr:uid="{8105E166-5488-4899-B699-AE894BABB9AE}">
      <text>
        <r>
          <rPr>
            <b/>
            <sz val="9"/>
            <color indexed="81"/>
            <rFont val="Tahoma"/>
            <family val="2"/>
          </rPr>
          <t>Anvay:</t>
        </r>
        <r>
          <rPr>
            <sz val="9"/>
            <color indexed="81"/>
            <rFont val="Tahoma"/>
            <family val="2"/>
          </rPr>
          <t xml:space="preserve">
The company generates ₹0.62 in sales for every ₹1 of assets.
This shows improved asset efficiency, up from 0.46x earlier, indicating stronger operations.
</t>
        </r>
      </text>
    </comment>
    <comment ref="I75" authorId="0" shapeId="0" xr:uid="{F6AECF4D-6CB9-43E7-AA41-A68CAB787FA7}">
      <text>
        <r>
          <rPr>
            <b/>
            <sz val="9"/>
            <color indexed="81"/>
            <rFont val="Tahoma"/>
            <family val="2"/>
          </rPr>
          <t>Anvay:</t>
        </r>
        <r>
          <rPr>
            <sz val="9"/>
            <color indexed="81"/>
            <rFont val="Tahoma"/>
            <family val="2"/>
          </rPr>
          <t xml:space="preserve">
The company has assets worth 3.57 times the shareholders’ equity.
This indicates it’s using some debt to fund growth but the 3.5x level suggests leverage is stable and manageable.
</t>
        </r>
      </text>
    </comment>
    <comment ref="I77" authorId="0" shapeId="0" xr:uid="{6E5E8ADD-AF1D-412E-813B-A10D012009E5}">
      <text>
        <r>
          <rPr>
            <b/>
            <sz val="9"/>
            <color indexed="81"/>
            <rFont val="Tahoma"/>
            <family val="2"/>
          </rPr>
          <t>Anvay:</t>
        </r>
        <r>
          <rPr>
            <sz val="9"/>
            <color indexed="81"/>
            <rFont val="Tahoma"/>
            <family val="2"/>
          </rPr>
          <t xml:space="preserve">
👉 Observation: Profit margins improved the most between FY20 and FY22 — the key driver of higher ROE.
👉 Observation: Asset efficiency also rose (0.45 → 0.62), further boosting ROE.
👉 Observation: Debt levels stayed stable, so ROE growth came mainly from better margins and efficiency, not leverage.
Summary: The company’s higher profit margins and improved efficiency — with stable leverage — led to a steady rise in shareholder returns (ROE).</t>
        </r>
      </text>
    </comment>
  </commentList>
</comments>
</file>

<file path=xl/sharedStrings.xml><?xml version="1.0" encoding="utf-8"?>
<sst xmlns="http://schemas.openxmlformats.org/spreadsheetml/2006/main" count="163" uniqueCount="102">
  <si>
    <t>COMPANY NAME</t>
  </si>
  <si>
    <t>SCREENER.IN</t>
  </si>
  <si>
    <t>Narration</t>
  </si>
  <si>
    <t>Trailing</t>
  </si>
  <si>
    <t>Best Case</t>
  </si>
  <si>
    <t>Worst Case</t>
  </si>
  <si>
    <t>Sales</t>
  </si>
  <si>
    <t>Expenses</t>
  </si>
  <si>
    <t>Operating Profit</t>
  </si>
  <si>
    <t>Other Income</t>
  </si>
  <si>
    <t>Depreciation</t>
  </si>
  <si>
    <t>Interest</t>
  </si>
  <si>
    <t>Profit before tax</t>
  </si>
  <si>
    <t>Tax</t>
  </si>
  <si>
    <t>Net profit</t>
  </si>
  <si>
    <t>RATIOS:</t>
  </si>
  <si>
    <t>Price to earning</t>
  </si>
  <si>
    <t>Dividend Payout</t>
  </si>
  <si>
    <t>OPM</t>
  </si>
  <si>
    <t>TRENDS:</t>
  </si>
  <si>
    <t>BEST</t>
  </si>
  <si>
    <t>WORST</t>
  </si>
  <si>
    <t>Sales Growth</t>
  </si>
  <si>
    <t>Price to Earning</t>
  </si>
  <si>
    <t>Equity Share Capital</t>
  </si>
  <si>
    <t>Reserves</t>
  </si>
  <si>
    <t>Total</t>
  </si>
  <si>
    <t>Net Block</t>
  </si>
  <si>
    <t>Capital Work in Progress</t>
  </si>
  <si>
    <t>Investments</t>
  </si>
  <si>
    <t>Working Capital</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</si>
  <si>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</si>
  <si>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</si>
  <si>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</si>
  <si>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</si>
  <si>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</si>
  <si>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</si>
  <si>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</si>
  <si>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</si>
  <si>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</si>
  <si>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</si>
  <si>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</si>
  <si>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</si>
  <si>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</si>
  <si>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Debtors</t>
  </si>
  <si>
    <t>Inventory</t>
  </si>
  <si>
    <t>Debtor Days</t>
  </si>
  <si>
    <t>Inventory Turnover</t>
  </si>
  <si>
    <t>EPS</t>
  </si>
  <si>
    <t>Price</t>
  </si>
  <si>
    <t>Return on Equity</t>
  </si>
  <si>
    <t>Return on Capital Emp</t>
  </si>
  <si>
    <t>LATEST VERSION</t>
  </si>
  <si>
    <t>CURRENT VERSION</t>
  </si>
  <si>
    <t>MAHINDRA &amp; MAHINDRA LTD</t>
  </si>
  <si>
    <t>META</t>
  </si>
  <si>
    <t>10 YEARS</t>
  </si>
  <si>
    <t>7 YEARS</t>
  </si>
  <si>
    <t>5 YEARS</t>
  </si>
  <si>
    <t>3 YEARS</t>
  </si>
  <si>
    <t>RECENT</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</si>
  <si>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</si>
  <si>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</si>
  <si>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</si>
  <si>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</si>
  <si>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</si>
  <si>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</si>
  <si>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</si>
  <si>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</si>
  <si>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</si>
  <si>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</si>
  <si>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</si>
  <si>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</si>
  <si>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</si>
  <si>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</si>
  <si>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</si>
  <si>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</si>
  <si>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</si>
  <si>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</si>
  <si>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</si>
  <si>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</si>
  <si>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Mahindra &amp; Mahindra LTD</t>
  </si>
  <si>
    <t>(BSE: 500520 | NSE: M&amp;M)</t>
  </si>
  <si>
    <t>INR 3,611</t>
  </si>
  <si>
    <t>52 week (High - INR 3,723.80 &amp; Low - 2,425.00)</t>
  </si>
  <si>
    <t>About the Company</t>
  </si>
  <si>
    <t>Mahindra &amp; Mahindra Limited, headquartered in Mumbai and founded in 1945, is a leading Indian multinational in the automotive and agricultural sectors. The company provides a broad spectrum of products and services, including SUVs, trucks, commercial vehicles, electric vehicles, tractors, farm machinery, and innovative mobility solutions under numerous brands, with global leadership in tractor manufacturing by volume. Mahindra also operates in financial services, hospitality, real estate, renewable energy, and defense, emphasizing technology-driven growth, customer experience, and sustainability. With a workforce exceeding 260,000 employees and a diverse global footprint, Mahindra &amp; Mahindra continues to drive industry innovation, under the leadership of CEO Dr. Anish Shah.</t>
  </si>
  <si>
    <t>Return on Equity (ROE)</t>
  </si>
  <si>
    <t>Net Profit</t>
  </si>
  <si>
    <t>Average Shareholder Equity</t>
  </si>
  <si>
    <t>ROE -  Dupont Equation</t>
  </si>
  <si>
    <t>Revenue</t>
  </si>
  <si>
    <t>Net Profit Margin (A)</t>
  </si>
  <si>
    <t>Average Total Assets</t>
  </si>
  <si>
    <t>Asset Turnover Ratio (B)</t>
  </si>
  <si>
    <t>Equity Multiplier (C)</t>
  </si>
  <si>
    <t>Return on Equity (A*B*C)</t>
  </si>
  <si>
    <t>Return on Assets</t>
  </si>
  <si>
    <t>ROA - Dupont Equation</t>
  </si>
  <si>
    <t>Return on Assets (A*B)</t>
  </si>
  <si>
    <t>Financial Summary</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</si>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</sst>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 #,##0.00_ ;_ * \-#,##0.00_ ;_ * &quot;-&quot;??_ ;_ @_ "/>
    <numFmt numFmtId="165" formatCode="[$-409]mmm\-yy;@"/>
    <numFmt numFmtId="166" formatCode="0.00&quot;x&quot;"/>
  </numFmts>
  <fonts count="13"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b/>
      <sz val="11"/>
      <color rgb="FFFF0000"/>
      <name val="Calibri"/>
      <family val="2"/>
      <scheme val="minor"/>
    </font>
    <font>
      <sz val="11"/>
      <name val="Calibri"/>
      <family val="2"/>
      <scheme val="minor"/>
    </font>
    <font>
      <b/>
      <sz val="24"/>
      <color rgb="FFE61A37"/>
      <name val="Calibri"/>
      <family val="2"/>
    </font>
    <font>
      <b/>
      <sz val="12"/>
      <color theme="1"/>
      <name val="Calibri"/>
      <family val="2"/>
    </font>
    <font>
      <b/>
      <sz val="14"/>
      <color rgb="FFE61A37"/>
      <name val="Calibri"/>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patternFill>
    </fill>
    <fill>
      <patternFill patternType="solid">
        <fgColor rgb="FF0275D8"/>
        <bgColor indexed="64"/>
      </patternFill>
    </fill>
    <fill>
      <patternFill patternType="solid">
        <fgColor rgb="FFE61A37"/>
        <bgColor indexed="64"/>
      </patternFill>
    </fill>
    <fill>
      <patternFill patternType="solid">
        <fgColor theme="0" tint="-0.14999847407452621"/>
        <bgColor indexed="64"/>
      </patternFill>
    </fill>
  </fills>
  <borders count="2">
    <border>
      <left/>
      <right/>
      <top/>
      <bottom/>
      <diagonal/>
    </border>
    <border>
      <left/>
      <right/>
      <top/>
      <bottom style="thick">
        <color rgb="FFE61A37"/>
      </bottom>
      <diagonal/>
    </border>
  </borders>
  <cellStyleXfs count="7">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9" fontId="3" fillId="0" borderId="0" applyFont="0" applyFill="0" applyBorder="0" applyAlignment="0" applyProtection="0"/>
  </cellStyleXfs>
  <cellXfs count="40">
    <xf numFmtId="0" fontId="0" fillId="0" borderId="0" xfId="0"/>
    <xf numFmtId="164" fontId="1" fillId="0" borderId="0" xfId="1" applyFont="1" applyBorder="1"/>
    <xf numFmtId="0" fontId="1" fillId="0" borderId="0" xfId="0" applyFont="1"/>
    <xf numFmtId="0" fontId="6" fillId="0" borderId="0" xfId="0" applyFont="1"/>
    <xf numFmtId="164" fontId="0" fillId="0" borderId="0" xfId="1" applyFont="1" applyBorder="1"/>
    <xf numFmtId="10" fontId="0" fillId="0" borderId="0" xfId="0" applyNumberFormat="1"/>
    <xf numFmtId="164" fontId="3" fillId="0" borderId="0" xfId="1" applyFont="1" applyBorder="1"/>
    <xf numFmtId="9" fontId="3" fillId="0" borderId="0" xfId="1" applyNumberFormat="1" applyFont="1" applyBorder="1"/>
    <xf numFmtId="164" fontId="2" fillId="2" borderId="0" xfId="3" applyNumberFormat="1" applyFont="1" applyBorder="1"/>
    <xf numFmtId="164" fontId="2" fillId="3" borderId="0" xfId="4" applyNumberFormat="1" applyFont="1" applyBorder="1"/>
    <xf numFmtId="9" fontId="1" fillId="0" borderId="0" xfId="6" applyFont="1" applyBorder="1"/>
    <xf numFmtId="0" fontId="2" fillId="5" borderId="0" xfId="0" applyFont="1" applyFill="1"/>
    <xf numFmtId="165" fontId="2" fillId="5" borderId="0" xfId="0" applyNumberFormat="1" applyFont="1" applyFill="1" applyAlignment="1">
      <alignment horizontal="center"/>
    </xf>
    <xf numFmtId="0" fontId="2" fillId="5" borderId="0" xfId="0" applyFont="1" applyFill="1" applyAlignment="1">
      <alignment horizontal="center"/>
    </xf>
    <xf numFmtId="164" fontId="0" fillId="0" borderId="0" xfId="1" applyFont="1" applyBorder="1" applyAlignment="1">
      <alignment horizontal="center"/>
    </xf>
    <xf numFmtId="164" fontId="1" fillId="0" borderId="0" xfId="1" applyFont="1" applyBorder="1" applyAlignment="1">
      <alignment horizontal="center"/>
    </xf>
    <xf numFmtId="10" fontId="1" fillId="0" borderId="0" xfId="0" applyNumberFormat="1" applyFont="1"/>
    <xf numFmtId="165" fontId="2" fillId="5" borderId="0" xfId="1" applyNumberFormat="1" applyFont="1" applyFill="1" applyBorder="1"/>
    <xf numFmtId="165" fontId="7" fillId="0" borderId="0" xfId="1" applyNumberFormat="1" applyFont="1" applyFill="1" applyBorder="1"/>
    <xf numFmtId="0" fontId="7" fillId="0" borderId="0" xfId="0" applyFont="1"/>
    <xf numFmtId="43" fontId="0" fillId="0" borderId="0" xfId="1" applyNumberFormat="1" applyFont="1" applyBorder="1"/>
    <xf numFmtId="164" fontId="4" fillId="0" borderId="0" xfId="2" applyNumberFormat="1" applyBorder="1" applyAlignment="1" applyProtection="1">
      <alignment horizontal="center"/>
    </xf>
    <xf numFmtId="164" fontId="2" fillId="4" borderId="0" xfId="5" applyNumberFormat="1" applyFont="1" applyBorder="1" applyAlignment="1">
      <alignment horizontal="center"/>
    </xf>
    <xf numFmtId="0" fontId="0" fillId="0" borderId="0" xfId="0" applyProtection="1">
      <protection locked="0"/>
    </xf>
    <xf numFmtId="0" fontId="2" fillId="6" borderId="0" xfId="0" applyFont="1" applyFill="1" applyAlignment="1" applyProtection="1">
      <alignment horizontal="center"/>
      <protection locked="0"/>
    </xf>
    <xf numFmtId="17" fontId="1" fillId="0" borderId="0" xfId="0" applyNumberFormat="1" applyFont="1" applyProtection="1">
      <protection locked="0"/>
    </xf>
    <xf numFmtId="37" fontId="0" fillId="0" borderId="0" xfId="0" applyNumberFormat="1" applyProtection="1">
      <protection locked="0"/>
    </xf>
    <xf numFmtId="0" fontId="1" fillId="7" borderId="0" xfId="0" applyFont="1" applyFill="1" applyProtection="1">
      <protection locked="0"/>
    </xf>
    <xf numFmtId="0" fontId="0" fillId="6" borderId="0" xfId="0" applyFill="1" applyProtection="1"/>
    <xf numFmtId="0" fontId="0" fillId="0" borderId="0" xfId="0" applyProtection="1"/>
    <xf numFmtId="0" fontId="8" fillId="0" borderId="0" xfId="0" applyFont="1" applyAlignment="1" applyProtection="1">
      <alignment vertical="center"/>
    </xf>
    <xf numFmtId="0" fontId="9" fillId="0" borderId="0" xfId="0" applyFont="1" applyAlignment="1" applyProtection="1">
      <alignment horizontal="left"/>
    </xf>
    <xf numFmtId="0" fontId="0" fillId="0" borderId="0" xfId="0" applyAlignment="1" applyProtection="1">
      <alignment horizontal="left"/>
    </xf>
    <xf numFmtId="0" fontId="0" fillId="0" borderId="1" xfId="0" applyBorder="1" applyProtection="1"/>
    <xf numFmtId="0" fontId="10" fillId="0" borderId="0" xfId="0" applyFont="1" applyProtection="1"/>
    <xf numFmtId="0" fontId="0" fillId="0" borderId="0" xfId="0" applyAlignment="1" applyProtection="1">
      <alignment horizontal="left" vertical="center" wrapText="1"/>
    </xf>
    <xf numFmtId="0" fontId="0" fillId="0" borderId="0" xfId="0" applyAlignment="1" applyProtection="1">
      <alignment horizontal="left" vertical="center" wrapText="1"/>
    </xf>
    <xf numFmtId="10" fontId="1" fillId="7" borderId="0" xfId="6" applyNumberFormat="1" applyFont="1" applyFill="1" applyProtection="1"/>
    <xf numFmtId="166" fontId="1" fillId="7" borderId="0" xfId="6" applyNumberFormat="1" applyFont="1" applyFill="1" applyProtection="1"/>
    <xf numFmtId="0" fontId="1" fillId="7" borderId="0" xfId="0" applyFont="1" applyFill="1" applyProtection="1"/>
  </cellXfs>
  <cellStyles count="7">
    <cellStyle name="60% - Accent1" xfId="3" builtinId="32"/>
    <cellStyle name="60% - Accent3" xfId="4" builtinId="40"/>
    <cellStyle name="Accent6" xfId="5" builtinId="49"/>
    <cellStyle name="Comma" xfId="1" builtinId="3"/>
    <cellStyle name="Hyperlink" xfId="2" builtinId="8"/>
    <cellStyle name="Normal" xfId="0" builtinId="0"/>
    <cellStyle name="Percent" xfId="6" builtinId="5"/>
  </cellStyles>
  <dxfs count="31">
    <dxf>
      <font>
        <b/>
        <i val="0"/>
        <color theme="0"/>
      </font>
      <fill>
        <patternFill>
          <bgColor theme="5"/>
        </patternFill>
      </fill>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style="thin">
          <color theme="4"/>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s>
  <tableStyles count="1" defaultTableStyle="TableStyleMedium9" defaultPivotStyle="PivotStyleLight16">
    <tableStyle name="Invisible" pivot="0" table="0" count="0" xr9:uid="{1E196B54-8281-4EC2-AE13-13024D84D740}"/>
  </tableStyles>
  <colors>
    <mruColors>
      <color rgb="FFE61A37"/>
      <color rgb="FFEC465E"/>
      <color rgb="FFF6A8B3"/>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a:t>Revenue</a:t>
            </a:r>
            <a:r>
              <a:rPr lang="en-IN" sz="1100" b="1" baseline="0"/>
              <a:t> (</a:t>
            </a:r>
            <a:r>
              <a:rPr lang="en-IN" sz="1100" b="1" i="0" u="none" strike="noStrike" baseline="0">
                <a:effectLst/>
              </a:rPr>
              <a:t>₹)</a:t>
            </a:r>
            <a:endParaRPr lang="en-IN"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8.1632653061224483E-2"/>
          <c:y val="0.17291512915129151"/>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4776-4CEA-BEF1-13DAF6DBA4E2}"/>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2-4776-4CEA-BEF1-13DAF6DBA4E2}"/>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4776-4CEA-BEF1-13DAF6DBA4E2}"/>
              </c:ext>
            </c:extLst>
          </c:dPt>
          <c:dPt>
            <c:idx val="3"/>
            <c:invertIfNegative val="0"/>
            <c:bubble3D val="0"/>
            <c:spPr>
              <a:solidFill>
                <a:srgbClr val="E61A37"/>
              </a:solidFill>
              <a:ln>
                <a:noFill/>
              </a:ln>
              <a:effectLst/>
            </c:spPr>
            <c:extLst>
              <c:ext xmlns:c16="http://schemas.microsoft.com/office/drawing/2014/chart" uri="{C3380CC4-5D6E-409C-BE32-E72D297353CC}">
                <c16:uniqueId val="{00000004-4776-4CEA-BEF1-13DAF6DBA4E2}"/>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Analysis'!$F$64:$I$64</c:f>
              <c:numCache>
                <c:formatCode>mmm\-yy</c:formatCode>
                <c:ptCount val="4"/>
                <c:pt idx="0">
                  <c:v>44651</c:v>
                </c:pt>
                <c:pt idx="1">
                  <c:v>45016</c:v>
                </c:pt>
                <c:pt idx="2">
                  <c:v>45382</c:v>
                </c:pt>
                <c:pt idx="3">
                  <c:v>45747</c:v>
                </c:pt>
              </c:numCache>
            </c:numRef>
          </c:cat>
          <c:val>
            <c:numRef>
              <c:f>'Dupont  Analysis'!$F$66:$I$66</c:f>
              <c:numCache>
                <c:formatCode>#,##0_);\(#,##0\)</c:formatCode>
                <c:ptCount val="4"/>
                <c:pt idx="0">
                  <c:v>90170.57</c:v>
                </c:pt>
                <c:pt idx="1">
                  <c:v>121268.55</c:v>
                </c:pt>
                <c:pt idx="2">
                  <c:v>139078.26999999999</c:v>
                </c:pt>
                <c:pt idx="3">
                  <c:v>159210.82</c:v>
                </c:pt>
              </c:numCache>
            </c:numRef>
          </c:val>
          <c:extLst>
            <c:ext xmlns:c16="http://schemas.microsoft.com/office/drawing/2014/chart" uri="{C3380CC4-5D6E-409C-BE32-E72D297353CC}">
              <c16:uniqueId val="{00000000-4776-4CEA-BEF1-13DAF6DBA4E2}"/>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_);\(#,##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baseline="0"/>
              <a:t>Net Profit (</a:t>
            </a:r>
            <a:r>
              <a:rPr lang="en-IN" sz="1100" b="1" i="0" u="none" strike="noStrike" baseline="0">
                <a:effectLst/>
              </a:rPr>
              <a:t>₹)</a:t>
            </a:r>
            <a:endParaRPr lang="en-IN"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8.1632653061224483E-2"/>
          <c:y val="0.17291512915129151"/>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DF55-49B9-9FE8-8B5279C6C051}"/>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DF55-49B9-9FE8-8B5279C6C051}"/>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DF55-49B9-9FE8-8B5279C6C051}"/>
              </c:ext>
            </c:extLst>
          </c:dPt>
          <c:dPt>
            <c:idx val="3"/>
            <c:invertIfNegative val="0"/>
            <c:bubble3D val="0"/>
            <c:spPr>
              <a:solidFill>
                <a:srgbClr val="E61A37"/>
              </a:solidFill>
              <a:ln>
                <a:noFill/>
              </a:ln>
              <a:effectLst/>
            </c:spPr>
            <c:extLst>
              <c:ext xmlns:c16="http://schemas.microsoft.com/office/drawing/2014/chart" uri="{C3380CC4-5D6E-409C-BE32-E72D297353CC}">
                <c16:uniqueId val="{00000007-DF55-49B9-9FE8-8B5279C6C051}"/>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Analysis'!$F$64:$I$64</c:f>
              <c:numCache>
                <c:formatCode>mmm\-yy</c:formatCode>
                <c:ptCount val="4"/>
                <c:pt idx="0">
                  <c:v>44651</c:v>
                </c:pt>
                <c:pt idx="1">
                  <c:v>45016</c:v>
                </c:pt>
                <c:pt idx="2">
                  <c:v>45382</c:v>
                </c:pt>
                <c:pt idx="3">
                  <c:v>45747</c:v>
                </c:pt>
              </c:numCache>
            </c:numRef>
          </c:cat>
          <c:val>
            <c:numRef>
              <c:f>'Dupont  Analysis'!$F$65:$I$65</c:f>
              <c:numCache>
                <c:formatCode>#,##0_);\(#,##0\)</c:formatCode>
                <c:ptCount val="4"/>
                <c:pt idx="0">
                  <c:v>6577.32</c:v>
                </c:pt>
                <c:pt idx="1">
                  <c:v>10281.5</c:v>
                </c:pt>
                <c:pt idx="2">
                  <c:v>11268.64</c:v>
                </c:pt>
                <c:pt idx="3">
                  <c:v>12929.1</c:v>
                </c:pt>
              </c:numCache>
            </c:numRef>
          </c:val>
          <c:extLst>
            <c:ext xmlns:c16="http://schemas.microsoft.com/office/drawing/2014/chart" uri="{C3380CC4-5D6E-409C-BE32-E72D297353CC}">
              <c16:uniqueId val="{00000008-DF55-49B9-9FE8-8B5279C6C051}"/>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_);\(#,##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baseline="0"/>
              <a:t>Avg Total Asset (</a:t>
            </a:r>
            <a:r>
              <a:rPr lang="en-IN" sz="1100" b="1" i="0" u="none" strike="noStrike" baseline="0">
                <a:effectLst/>
              </a:rPr>
              <a:t>₹)</a:t>
            </a:r>
            <a:endParaRPr lang="en-IN"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8.8435374149659865E-2"/>
          <c:y val="0.21682738049616229"/>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6E65-4C60-A777-581C222C3BF8}"/>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6E65-4C60-A777-581C222C3BF8}"/>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6E65-4C60-A777-581C222C3BF8}"/>
              </c:ext>
            </c:extLst>
          </c:dPt>
          <c:dPt>
            <c:idx val="3"/>
            <c:invertIfNegative val="0"/>
            <c:bubble3D val="0"/>
            <c:spPr>
              <a:solidFill>
                <a:srgbClr val="E61A37"/>
              </a:solidFill>
              <a:ln>
                <a:noFill/>
              </a:ln>
              <a:effectLst/>
            </c:spPr>
            <c:extLst>
              <c:ext xmlns:c16="http://schemas.microsoft.com/office/drawing/2014/chart" uri="{C3380CC4-5D6E-409C-BE32-E72D297353CC}">
                <c16:uniqueId val="{00000007-6E65-4C60-A777-581C222C3BF8}"/>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Analysis'!$F$64:$I$64</c:f>
              <c:numCache>
                <c:formatCode>mmm\-yy</c:formatCode>
                <c:ptCount val="4"/>
                <c:pt idx="0">
                  <c:v>44651</c:v>
                </c:pt>
                <c:pt idx="1">
                  <c:v>45016</c:v>
                </c:pt>
                <c:pt idx="2">
                  <c:v>45382</c:v>
                </c:pt>
                <c:pt idx="3">
                  <c:v>45747</c:v>
                </c:pt>
              </c:numCache>
            </c:numRef>
          </c:cat>
          <c:val>
            <c:numRef>
              <c:f>'Dupont  Analysis'!$F$70:$I$70</c:f>
              <c:numCache>
                <c:formatCode>#,##0_);\(#,##0\)</c:formatCode>
                <c:ptCount val="4"/>
                <c:pt idx="0">
                  <c:v>168678.40999999997</c:v>
                </c:pt>
                <c:pt idx="1">
                  <c:v>188335.81</c:v>
                </c:pt>
                <c:pt idx="2">
                  <c:v>219502.435</c:v>
                </c:pt>
                <c:pt idx="3">
                  <c:v>255367.44999999998</c:v>
                </c:pt>
              </c:numCache>
            </c:numRef>
          </c:val>
          <c:extLst>
            <c:ext xmlns:c16="http://schemas.microsoft.com/office/drawing/2014/chart" uri="{C3380CC4-5D6E-409C-BE32-E72D297353CC}">
              <c16:uniqueId val="{00000008-6E65-4C60-A777-581C222C3BF8}"/>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_);\(#,##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a:t>Return</a:t>
            </a:r>
            <a:r>
              <a:rPr lang="en-IN" sz="1100" b="1" baseline="0"/>
              <a:t> on Equity</a:t>
            </a:r>
          </a:p>
        </c:rich>
      </c:tx>
      <c:layout>
        <c:manualLayout>
          <c:xMode val="edge"/>
          <c:yMode val="edge"/>
          <c:x val="0.21106312420468129"/>
          <c:y val="7.327173891721677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8.1632904450357119E-2"/>
          <c:y val="0.26084104417420445"/>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4814-42F1-A97A-2A9DC5C6A11E}"/>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4814-42F1-A97A-2A9DC5C6A11E}"/>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4814-42F1-A97A-2A9DC5C6A11E}"/>
              </c:ext>
            </c:extLst>
          </c:dPt>
          <c:dPt>
            <c:idx val="3"/>
            <c:invertIfNegative val="0"/>
            <c:bubble3D val="0"/>
            <c:spPr>
              <a:solidFill>
                <a:srgbClr val="E61A37"/>
              </a:solidFill>
              <a:ln>
                <a:noFill/>
              </a:ln>
              <a:effectLst/>
            </c:spPr>
            <c:extLst>
              <c:ext xmlns:c16="http://schemas.microsoft.com/office/drawing/2014/chart" uri="{C3380CC4-5D6E-409C-BE32-E72D297353CC}">
                <c16:uniqueId val="{00000007-4814-42F1-A97A-2A9DC5C6A11E}"/>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Analysis'!$F$57:$I$57</c:f>
              <c:numCache>
                <c:formatCode>mmm\-yy</c:formatCode>
                <c:ptCount val="4"/>
                <c:pt idx="0">
                  <c:v>44651</c:v>
                </c:pt>
                <c:pt idx="1">
                  <c:v>45016</c:v>
                </c:pt>
                <c:pt idx="2">
                  <c:v>45382</c:v>
                </c:pt>
                <c:pt idx="3">
                  <c:v>45747</c:v>
                </c:pt>
              </c:numCache>
            </c:numRef>
          </c:cat>
          <c:val>
            <c:numRef>
              <c:f>'Dupont  Analysis'!$F$60:$I$60</c:f>
              <c:numCache>
                <c:formatCode>0.00%</c:formatCode>
                <c:ptCount val="4"/>
                <c:pt idx="0">
                  <c:v>0.14829722395331199</c:v>
                </c:pt>
                <c:pt idx="1">
                  <c:v>0.19869854050351329</c:v>
                </c:pt>
                <c:pt idx="2">
                  <c:v>0.18389322004883632</c:v>
                </c:pt>
                <c:pt idx="3">
                  <c:v>0.18053694419323518</c:v>
                </c:pt>
              </c:numCache>
            </c:numRef>
          </c:val>
          <c:extLst>
            <c:ext xmlns:c16="http://schemas.microsoft.com/office/drawing/2014/chart" uri="{C3380CC4-5D6E-409C-BE32-E72D297353CC}">
              <c16:uniqueId val="{00000008-4814-42F1-A97A-2A9DC5C6A11E}"/>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0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baseline="0"/>
              <a:t>Return on Asset</a:t>
            </a:r>
            <a:endParaRPr lang="en-IN" sz="1100" b="1"/>
          </a:p>
        </c:rich>
      </c:tx>
      <c:layout>
        <c:manualLayout>
          <c:xMode val="edge"/>
          <c:yMode val="edge"/>
          <c:x val="0.24634940488069337"/>
          <c:y val="5.861739113377342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8.1632674840641642E-2"/>
          <c:y val="0.23885952249903941"/>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0FBF-4520-BA99-82477952A1AD}"/>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0FBF-4520-BA99-82477952A1AD}"/>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0FBF-4520-BA99-82477952A1AD}"/>
              </c:ext>
            </c:extLst>
          </c:dPt>
          <c:dPt>
            <c:idx val="3"/>
            <c:invertIfNegative val="0"/>
            <c:bubble3D val="0"/>
            <c:spPr>
              <a:solidFill>
                <a:srgbClr val="E61A37"/>
              </a:solidFill>
              <a:ln>
                <a:noFill/>
              </a:ln>
              <a:effectLst/>
            </c:spPr>
            <c:extLst>
              <c:ext xmlns:c16="http://schemas.microsoft.com/office/drawing/2014/chart" uri="{C3380CC4-5D6E-409C-BE32-E72D297353CC}">
                <c16:uniqueId val="{00000007-0FBF-4520-BA99-82477952A1AD}"/>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Analysis'!$F$80:$I$80</c:f>
              <c:numCache>
                <c:formatCode>mmm\-yy</c:formatCode>
                <c:ptCount val="4"/>
                <c:pt idx="0">
                  <c:v>44651</c:v>
                </c:pt>
                <c:pt idx="1">
                  <c:v>45016</c:v>
                </c:pt>
                <c:pt idx="2">
                  <c:v>45382</c:v>
                </c:pt>
                <c:pt idx="3">
                  <c:v>45747</c:v>
                </c:pt>
              </c:numCache>
            </c:numRef>
          </c:cat>
          <c:val>
            <c:numRef>
              <c:f>'Dupont  Analysis'!$F$83:$I$83</c:f>
              <c:numCache>
                <c:formatCode>0.00%</c:formatCode>
                <c:ptCount val="4"/>
                <c:pt idx="0">
                  <c:v>3.8993253493437609E-2</c:v>
                </c:pt>
                <c:pt idx="1">
                  <c:v>5.4591317498249539E-2</c:v>
                </c:pt>
                <c:pt idx="2">
                  <c:v>5.1337198149988633E-2</c:v>
                </c:pt>
                <c:pt idx="3">
                  <c:v>5.0629396972871839E-2</c:v>
                </c:pt>
              </c:numCache>
            </c:numRef>
          </c:val>
          <c:extLst>
            <c:ext xmlns:c16="http://schemas.microsoft.com/office/drawing/2014/chart" uri="{C3380CC4-5D6E-409C-BE32-E72D297353CC}">
              <c16:uniqueId val="{00000008-0FBF-4520-BA99-82477952A1AD}"/>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0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IN" sz="1100" b="1" baseline="0"/>
              <a:t>Financial Leverage</a:t>
            </a:r>
            <a:endParaRPr lang="en-IN" sz="1100" b="1"/>
          </a:p>
        </c:rich>
      </c:tx>
      <c:layout>
        <c:manualLayout>
          <c:xMode val="edge"/>
          <c:yMode val="edge"/>
          <c:x val="0.19408163265306122"/>
          <c:y val="5.8549662619094681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IN"/>
        </a:p>
      </c:txPr>
    </c:title>
    <c:autoTitleDeleted val="0"/>
    <c:plotArea>
      <c:layout>
        <c:manualLayout>
          <c:layoutTarget val="inner"/>
          <c:xMode val="edge"/>
          <c:yMode val="edge"/>
          <c:x val="7.4829931972789115E-2"/>
          <c:y val="0.25342091963309649"/>
          <c:w val="0.85034013605442171"/>
          <c:h val="0.59578057355376701"/>
        </c:manualLayout>
      </c:layout>
      <c:barChart>
        <c:barDir val="col"/>
        <c:grouping val="clustered"/>
        <c:varyColors val="0"/>
        <c:ser>
          <c:idx val="0"/>
          <c:order val="0"/>
          <c:spPr>
            <a:solidFill>
              <a:srgbClr val="F6A8B3"/>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66BD-4272-8488-3DFF8C1B47A2}"/>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66BD-4272-8488-3DFF8C1B47A2}"/>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66BD-4272-8488-3DFF8C1B47A2}"/>
              </c:ext>
            </c:extLst>
          </c:dPt>
          <c:dPt>
            <c:idx val="3"/>
            <c:invertIfNegative val="0"/>
            <c:bubble3D val="0"/>
            <c:spPr>
              <a:solidFill>
                <a:srgbClr val="E61A37"/>
              </a:solidFill>
              <a:ln>
                <a:noFill/>
              </a:ln>
              <a:effectLst/>
            </c:spPr>
            <c:extLst>
              <c:ext xmlns:c16="http://schemas.microsoft.com/office/drawing/2014/chart" uri="{C3380CC4-5D6E-409C-BE32-E72D297353CC}">
                <c16:uniqueId val="{00000007-66BD-4272-8488-3DFF8C1B47A2}"/>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'Dupont  Analysis'!$F$64:$I$64</c:f>
              <c:numCache>
                <c:formatCode>mmm\-yy</c:formatCode>
                <c:ptCount val="4"/>
                <c:pt idx="0">
                  <c:v>44651</c:v>
                </c:pt>
                <c:pt idx="1">
                  <c:v>45016</c:v>
                </c:pt>
                <c:pt idx="2">
                  <c:v>45382</c:v>
                </c:pt>
                <c:pt idx="3">
                  <c:v>45747</c:v>
                </c:pt>
              </c:numCache>
            </c:numRef>
          </c:cat>
          <c:val>
            <c:numRef>
              <c:f>'Dupont  Analysis'!$F$70:$I$70</c:f>
              <c:numCache>
                <c:formatCode>#,##0_);\(#,##0\)</c:formatCode>
                <c:ptCount val="4"/>
                <c:pt idx="0">
                  <c:v>168678.40999999997</c:v>
                </c:pt>
                <c:pt idx="1">
                  <c:v>188335.81</c:v>
                </c:pt>
                <c:pt idx="2">
                  <c:v>219502.435</c:v>
                </c:pt>
                <c:pt idx="3">
                  <c:v>255367.44999999998</c:v>
                </c:pt>
              </c:numCache>
            </c:numRef>
          </c:val>
          <c:extLst>
            <c:ext xmlns:c16="http://schemas.microsoft.com/office/drawing/2014/chart" uri="{C3380CC4-5D6E-409C-BE32-E72D297353CC}">
              <c16:uniqueId val="{00000008-66BD-4272-8488-3DFF8C1B47A2}"/>
            </c:ext>
          </c:extLst>
        </c:ser>
        <c:dLbls>
          <c:showLegendKey val="0"/>
          <c:showVal val="0"/>
          <c:showCatName val="0"/>
          <c:showSerName val="0"/>
          <c:showPercent val="0"/>
          <c:showBubbleSize val="0"/>
        </c:dLbls>
        <c:gapWidth val="219"/>
        <c:overlap val="-27"/>
        <c:axId val="1116969295"/>
        <c:axId val="1116969775"/>
      </c:barChart>
      <c:dateAx>
        <c:axId val="11169692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16969775"/>
        <c:crosses val="autoZero"/>
        <c:auto val="1"/>
        <c:lblOffset val="100"/>
        <c:baseTimeUnit val="years"/>
      </c:dateAx>
      <c:valAx>
        <c:axId val="1116969775"/>
        <c:scaling>
          <c:orientation val="minMax"/>
        </c:scaling>
        <c:delete val="1"/>
        <c:axPos val="l"/>
        <c:numFmt formatCode="#,##0_);\(#,##0\)" sourceLinked="1"/>
        <c:majorTickMark val="none"/>
        <c:minorTickMark val="none"/>
        <c:tickLblPos val="nextTo"/>
        <c:crossAx val="1116969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92927</xdr:colOff>
      <xdr:row>2</xdr:row>
      <xdr:rowOff>223027</xdr:rowOff>
    </xdr:from>
    <xdr:to>
      <xdr:col>8</xdr:col>
      <xdr:colOff>667592</xdr:colOff>
      <xdr:row>5</xdr:row>
      <xdr:rowOff>5267</xdr:rowOff>
    </xdr:to>
    <xdr:pic>
      <xdr:nvPicPr>
        <xdr:cNvPr id="2" name="Picture 1">
          <a:extLst>
            <a:ext uri="{FF2B5EF4-FFF2-40B4-BE49-F238E27FC236}">
              <a16:creationId xmlns:a16="http://schemas.microsoft.com/office/drawing/2014/main" id="{D15061E5-8F6F-43DA-9D6E-8E6E92CAB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2555" y="479275"/>
          <a:ext cx="2098665" cy="557727"/>
        </a:xfrm>
        <a:prstGeom prst="rect">
          <a:avLst/>
        </a:prstGeom>
      </xdr:spPr>
    </xdr:pic>
    <xdr:clientData/>
  </xdr:twoCellAnchor>
  <xdr:twoCellAnchor>
    <xdr:from>
      <xdr:col>0</xdr:col>
      <xdr:colOff>101601</xdr:colOff>
      <xdr:row>18</xdr:row>
      <xdr:rowOff>37097</xdr:rowOff>
    </xdr:from>
    <xdr:to>
      <xdr:col>1</xdr:col>
      <xdr:colOff>1809751</xdr:colOff>
      <xdr:row>27</xdr:row>
      <xdr:rowOff>100597</xdr:rowOff>
    </xdr:to>
    <xdr:grpSp>
      <xdr:nvGrpSpPr>
        <xdr:cNvPr id="18" name="Group 17">
          <a:extLst>
            <a:ext uri="{FF2B5EF4-FFF2-40B4-BE49-F238E27FC236}">
              <a16:creationId xmlns:a16="http://schemas.microsoft.com/office/drawing/2014/main" id="{94F848C2-B414-E2E5-0807-1C159C7D3556}"/>
            </a:ext>
          </a:extLst>
        </xdr:cNvPr>
        <xdr:cNvGrpSpPr/>
      </xdr:nvGrpSpPr>
      <xdr:grpSpPr>
        <a:xfrm>
          <a:off x="101601" y="3515793"/>
          <a:ext cx="1867176" cy="1733274"/>
          <a:chOff x="101600" y="3527425"/>
          <a:chExt cx="1866900" cy="1720850"/>
        </a:xfrm>
      </xdr:grpSpPr>
      <xdr:graphicFrame macro="">
        <xdr:nvGraphicFramePr>
          <xdr:cNvPr id="3" name="Chart 2">
            <a:extLst>
              <a:ext uri="{FF2B5EF4-FFF2-40B4-BE49-F238E27FC236}">
                <a16:creationId xmlns:a16="http://schemas.microsoft.com/office/drawing/2014/main" id="{2A21AEB4-196A-2B0C-6C23-4095C2192D79}"/>
              </a:ext>
            </a:extLst>
          </xdr:cNvPr>
          <xdr:cNvGraphicFramePr/>
        </xdr:nvGraphicFramePr>
        <xdr:xfrm>
          <a:off x="101600" y="3527425"/>
          <a:ext cx="1866900" cy="172085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6" name="Straight Connector 5">
            <a:extLst>
              <a:ext uri="{FF2B5EF4-FFF2-40B4-BE49-F238E27FC236}">
                <a16:creationId xmlns:a16="http://schemas.microsoft.com/office/drawing/2014/main" id="{8CBB63AF-47FA-D5AB-95FC-D32A915A4087}"/>
              </a:ext>
            </a:extLst>
          </xdr:cNvPr>
          <xdr:cNvCxnSpPr/>
        </xdr:nvCxnSpPr>
        <xdr:spPr>
          <a:xfrm flipV="1">
            <a:off x="244475" y="3581400"/>
            <a:ext cx="1581150" cy="6350"/>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512693</xdr:colOff>
      <xdr:row>18</xdr:row>
      <xdr:rowOff>37097</xdr:rowOff>
    </xdr:from>
    <xdr:to>
      <xdr:col>5</xdr:col>
      <xdr:colOff>385693</xdr:colOff>
      <xdr:row>27</xdr:row>
      <xdr:rowOff>100597</xdr:rowOff>
    </xdr:to>
    <xdr:grpSp>
      <xdr:nvGrpSpPr>
        <xdr:cNvPr id="19" name="Group 18">
          <a:extLst>
            <a:ext uri="{FF2B5EF4-FFF2-40B4-BE49-F238E27FC236}">
              <a16:creationId xmlns:a16="http://schemas.microsoft.com/office/drawing/2014/main" id="{A2014A9C-FD66-4BFA-BEA1-C7E783FE83AE}"/>
            </a:ext>
          </a:extLst>
        </xdr:cNvPr>
        <xdr:cNvGrpSpPr/>
      </xdr:nvGrpSpPr>
      <xdr:grpSpPr>
        <a:xfrm>
          <a:off x="2765563" y="3515793"/>
          <a:ext cx="1874078" cy="1733274"/>
          <a:chOff x="101600" y="3527425"/>
          <a:chExt cx="1866900" cy="1720850"/>
        </a:xfrm>
      </xdr:grpSpPr>
      <xdr:graphicFrame macro="">
        <xdr:nvGraphicFramePr>
          <xdr:cNvPr id="20" name="Chart 19">
            <a:extLst>
              <a:ext uri="{FF2B5EF4-FFF2-40B4-BE49-F238E27FC236}">
                <a16:creationId xmlns:a16="http://schemas.microsoft.com/office/drawing/2014/main" id="{7BA52ED1-65EA-4969-0449-B594118CAFD0}"/>
              </a:ext>
            </a:extLst>
          </xdr:cNvPr>
          <xdr:cNvGraphicFramePr/>
        </xdr:nvGraphicFramePr>
        <xdr:xfrm>
          <a:off x="101600" y="3527425"/>
          <a:ext cx="1866900" cy="1720850"/>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21" name="Straight Connector 20">
            <a:extLst>
              <a:ext uri="{FF2B5EF4-FFF2-40B4-BE49-F238E27FC236}">
                <a16:creationId xmlns:a16="http://schemas.microsoft.com/office/drawing/2014/main" id="{53E14745-8378-3455-B775-A5A1F18100B7}"/>
              </a:ext>
            </a:extLst>
          </xdr:cNvPr>
          <xdr:cNvCxnSpPr/>
        </xdr:nvCxnSpPr>
        <xdr:spPr>
          <a:xfrm flipV="1">
            <a:off x="244475" y="3581400"/>
            <a:ext cx="1581150" cy="6350"/>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xdr:col>
      <xdr:colOff>348422</xdr:colOff>
      <xdr:row>17</xdr:row>
      <xdr:rowOff>214999</xdr:rowOff>
    </xdr:from>
    <xdr:to>
      <xdr:col>8</xdr:col>
      <xdr:colOff>691322</xdr:colOff>
      <xdr:row>27</xdr:row>
      <xdr:rowOff>48591</xdr:rowOff>
    </xdr:to>
    <xdr:grpSp>
      <xdr:nvGrpSpPr>
        <xdr:cNvPr id="32" name="Group 31">
          <a:extLst>
            <a:ext uri="{FF2B5EF4-FFF2-40B4-BE49-F238E27FC236}">
              <a16:creationId xmlns:a16="http://schemas.microsoft.com/office/drawing/2014/main" id="{C392BABE-BB0A-B99D-7EF6-5768C31C5562}"/>
            </a:ext>
          </a:extLst>
        </xdr:cNvPr>
        <xdr:cNvGrpSpPr/>
      </xdr:nvGrpSpPr>
      <xdr:grpSpPr>
        <a:xfrm>
          <a:off x="5291483" y="3461782"/>
          <a:ext cx="1866900" cy="1735279"/>
          <a:chOff x="5311361" y="3514791"/>
          <a:chExt cx="1866900" cy="1735279"/>
        </a:xfrm>
      </xdr:grpSpPr>
      <xdr:graphicFrame macro="">
        <xdr:nvGraphicFramePr>
          <xdr:cNvPr id="23" name="Chart 22">
            <a:extLst>
              <a:ext uri="{FF2B5EF4-FFF2-40B4-BE49-F238E27FC236}">
                <a16:creationId xmlns:a16="http://schemas.microsoft.com/office/drawing/2014/main" id="{13CDD1D1-262A-DE92-E272-60BBB2A514E2}"/>
              </a:ext>
            </a:extLst>
          </xdr:cNvPr>
          <xdr:cNvGraphicFramePr/>
        </xdr:nvGraphicFramePr>
        <xdr:xfrm>
          <a:off x="5311361" y="3514791"/>
          <a:ext cx="1866900" cy="1735279"/>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24" name="Straight Connector 23">
            <a:extLst>
              <a:ext uri="{FF2B5EF4-FFF2-40B4-BE49-F238E27FC236}">
                <a16:creationId xmlns:a16="http://schemas.microsoft.com/office/drawing/2014/main" id="{F2B7F7BA-8194-6DE7-E756-D9788A72B8DD}"/>
              </a:ext>
            </a:extLst>
          </xdr:cNvPr>
          <xdr:cNvCxnSpPr/>
        </xdr:nvCxnSpPr>
        <xdr:spPr>
          <a:xfrm flipV="1">
            <a:off x="5454236" y="3569219"/>
            <a:ext cx="1581150" cy="6403"/>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0</xdr:col>
      <xdr:colOff>101601</xdr:colOff>
      <xdr:row>27</xdr:row>
      <xdr:rowOff>92921</xdr:rowOff>
    </xdr:from>
    <xdr:to>
      <xdr:col>1</xdr:col>
      <xdr:colOff>1809751</xdr:colOff>
      <xdr:row>36</xdr:row>
      <xdr:rowOff>156422</xdr:rowOff>
    </xdr:to>
    <xdr:grpSp>
      <xdr:nvGrpSpPr>
        <xdr:cNvPr id="36" name="Group 35">
          <a:extLst>
            <a:ext uri="{FF2B5EF4-FFF2-40B4-BE49-F238E27FC236}">
              <a16:creationId xmlns:a16="http://schemas.microsoft.com/office/drawing/2014/main" id="{13E60675-8061-507E-2CFB-7668A9558784}"/>
            </a:ext>
          </a:extLst>
        </xdr:cNvPr>
        <xdr:cNvGrpSpPr/>
      </xdr:nvGrpSpPr>
      <xdr:grpSpPr>
        <a:xfrm>
          <a:off x="101601" y="5241391"/>
          <a:ext cx="1867176" cy="1733274"/>
          <a:chOff x="101601" y="5241391"/>
          <a:chExt cx="1867176" cy="1733274"/>
        </a:xfrm>
      </xdr:grpSpPr>
      <xdr:graphicFrame macro="">
        <xdr:nvGraphicFramePr>
          <xdr:cNvPr id="26" name="Chart 25">
            <a:extLst>
              <a:ext uri="{FF2B5EF4-FFF2-40B4-BE49-F238E27FC236}">
                <a16:creationId xmlns:a16="http://schemas.microsoft.com/office/drawing/2014/main" id="{73542D86-B835-0174-FB25-9C4D726A6BC1}"/>
              </a:ext>
            </a:extLst>
          </xdr:cNvPr>
          <xdr:cNvGraphicFramePr/>
        </xdr:nvGraphicFramePr>
        <xdr:xfrm>
          <a:off x="101601" y="5241391"/>
          <a:ext cx="1867176" cy="1733274"/>
        </xdr:xfrm>
        <a:graphic>
          <a:graphicData uri="http://schemas.openxmlformats.org/drawingml/2006/chart">
            <c:chart xmlns:c="http://schemas.openxmlformats.org/drawingml/2006/chart" xmlns:r="http://schemas.openxmlformats.org/officeDocument/2006/relationships" r:id="rId5"/>
          </a:graphicData>
        </a:graphic>
      </xdr:graphicFrame>
      <xdr:cxnSp macro="">
        <xdr:nvCxnSpPr>
          <xdr:cNvPr id="27" name="Straight Connector 26">
            <a:extLst>
              <a:ext uri="{FF2B5EF4-FFF2-40B4-BE49-F238E27FC236}">
                <a16:creationId xmlns:a16="http://schemas.microsoft.com/office/drawing/2014/main" id="{4B1E74E0-BD1B-749A-D348-907EFBE097DC}"/>
              </a:ext>
            </a:extLst>
          </xdr:cNvPr>
          <xdr:cNvCxnSpPr/>
        </xdr:nvCxnSpPr>
        <xdr:spPr>
          <a:xfrm flipV="1">
            <a:off x="244497" y="5295756"/>
            <a:ext cx="1581384" cy="6396"/>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512693</xdr:colOff>
      <xdr:row>27</xdr:row>
      <xdr:rowOff>92921</xdr:rowOff>
    </xdr:from>
    <xdr:to>
      <xdr:col>5</xdr:col>
      <xdr:colOff>385693</xdr:colOff>
      <xdr:row>36</xdr:row>
      <xdr:rowOff>156422</xdr:rowOff>
    </xdr:to>
    <xdr:grpSp>
      <xdr:nvGrpSpPr>
        <xdr:cNvPr id="37" name="Group 36">
          <a:extLst>
            <a:ext uri="{FF2B5EF4-FFF2-40B4-BE49-F238E27FC236}">
              <a16:creationId xmlns:a16="http://schemas.microsoft.com/office/drawing/2014/main" id="{97CCE832-A974-B4DE-8C20-837D5CAA432F}"/>
            </a:ext>
          </a:extLst>
        </xdr:cNvPr>
        <xdr:cNvGrpSpPr/>
      </xdr:nvGrpSpPr>
      <xdr:grpSpPr>
        <a:xfrm>
          <a:off x="2765563" y="5241391"/>
          <a:ext cx="1874078" cy="1733274"/>
          <a:chOff x="2765563" y="5241391"/>
          <a:chExt cx="1874078" cy="1733274"/>
        </a:xfrm>
      </xdr:grpSpPr>
      <xdr:graphicFrame macro="">
        <xdr:nvGraphicFramePr>
          <xdr:cNvPr id="29" name="Chart 28">
            <a:extLst>
              <a:ext uri="{FF2B5EF4-FFF2-40B4-BE49-F238E27FC236}">
                <a16:creationId xmlns:a16="http://schemas.microsoft.com/office/drawing/2014/main" id="{873B12B1-2188-A2EC-02F6-6571C831A630}"/>
              </a:ext>
            </a:extLst>
          </xdr:cNvPr>
          <xdr:cNvGraphicFramePr/>
        </xdr:nvGraphicFramePr>
        <xdr:xfrm>
          <a:off x="2765563" y="5241391"/>
          <a:ext cx="1874078" cy="1733274"/>
        </xdr:xfrm>
        <a:graphic>
          <a:graphicData uri="http://schemas.openxmlformats.org/drawingml/2006/chart">
            <c:chart xmlns:c="http://schemas.openxmlformats.org/drawingml/2006/chart" xmlns:r="http://schemas.openxmlformats.org/officeDocument/2006/relationships" r:id="rId6"/>
          </a:graphicData>
        </a:graphic>
      </xdr:graphicFrame>
      <xdr:cxnSp macro="">
        <xdr:nvCxnSpPr>
          <xdr:cNvPr id="30" name="Straight Connector 29">
            <a:extLst>
              <a:ext uri="{FF2B5EF4-FFF2-40B4-BE49-F238E27FC236}">
                <a16:creationId xmlns:a16="http://schemas.microsoft.com/office/drawing/2014/main" id="{F0A39C7A-FB1A-7D70-E4CB-DDEED4BAF607}"/>
              </a:ext>
            </a:extLst>
          </xdr:cNvPr>
          <xdr:cNvCxnSpPr/>
        </xdr:nvCxnSpPr>
        <xdr:spPr>
          <a:xfrm flipV="1">
            <a:off x="2908987" y="5295756"/>
            <a:ext cx="1587229" cy="6396"/>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xdr:col>
      <xdr:colOff>355048</xdr:colOff>
      <xdr:row>27</xdr:row>
      <xdr:rowOff>91919</xdr:rowOff>
    </xdr:from>
    <xdr:to>
      <xdr:col>8</xdr:col>
      <xdr:colOff>697948</xdr:colOff>
      <xdr:row>36</xdr:row>
      <xdr:rowOff>157425</xdr:rowOff>
    </xdr:to>
    <xdr:grpSp>
      <xdr:nvGrpSpPr>
        <xdr:cNvPr id="38" name="Group 37">
          <a:extLst>
            <a:ext uri="{FF2B5EF4-FFF2-40B4-BE49-F238E27FC236}">
              <a16:creationId xmlns:a16="http://schemas.microsoft.com/office/drawing/2014/main" id="{CD95B677-0B3D-A35A-06BF-E0BF4FB837F8}"/>
            </a:ext>
          </a:extLst>
        </xdr:cNvPr>
        <xdr:cNvGrpSpPr/>
      </xdr:nvGrpSpPr>
      <xdr:grpSpPr>
        <a:xfrm>
          <a:off x="5298109" y="5240389"/>
          <a:ext cx="1866900" cy="1735279"/>
          <a:chOff x="5298109" y="5240389"/>
          <a:chExt cx="1866900" cy="1735279"/>
        </a:xfrm>
      </xdr:grpSpPr>
      <xdr:graphicFrame macro="">
        <xdr:nvGraphicFramePr>
          <xdr:cNvPr id="34" name="Chart 33">
            <a:extLst>
              <a:ext uri="{FF2B5EF4-FFF2-40B4-BE49-F238E27FC236}">
                <a16:creationId xmlns:a16="http://schemas.microsoft.com/office/drawing/2014/main" id="{EECB2944-A0BE-7ED4-4274-389E59964AB2}"/>
              </a:ext>
            </a:extLst>
          </xdr:cNvPr>
          <xdr:cNvGraphicFramePr/>
        </xdr:nvGraphicFramePr>
        <xdr:xfrm>
          <a:off x="5298109" y="5240389"/>
          <a:ext cx="1866900" cy="1735279"/>
        </xdr:xfrm>
        <a:graphic>
          <a:graphicData uri="http://schemas.openxmlformats.org/drawingml/2006/chart">
            <c:chart xmlns:c="http://schemas.openxmlformats.org/drawingml/2006/chart" xmlns:r="http://schemas.openxmlformats.org/officeDocument/2006/relationships" r:id="rId7"/>
          </a:graphicData>
        </a:graphic>
      </xdr:graphicFrame>
      <xdr:cxnSp macro="">
        <xdr:nvCxnSpPr>
          <xdr:cNvPr id="35" name="Straight Connector 34">
            <a:extLst>
              <a:ext uri="{FF2B5EF4-FFF2-40B4-BE49-F238E27FC236}">
                <a16:creationId xmlns:a16="http://schemas.microsoft.com/office/drawing/2014/main" id="{7409E31E-F507-5762-F176-6809FB02DEAD}"/>
              </a:ext>
            </a:extLst>
          </xdr:cNvPr>
          <xdr:cNvCxnSpPr/>
        </xdr:nvCxnSpPr>
        <xdr:spPr>
          <a:xfrm flipV="1">
            <a:off x="5440984" y="5294817"/>
            <a:ext cx="1581150" cy="6403"/>
          </a:xfrm>
          <a:prstGeom prst="line">
            <a:avLst/>
          </a:prstGeom>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xdr:col>
      <xdr:colOff>6628</xdr:colOff>
      <xdr:row>37</xdr:row>
      <xdr:rowOff>106017</xdr:rowOff>
    </xdr:from>
    <xdr:to>
      <xdr:col>8</xdr:col>
      <xdr:colOff>695740</xdr:colOff>
      <xdr:row>49</xdr:row>
      <xdr:rowOff>92765</xdr:rowOff>
    </xdr:to>
    <xdr:sp macro="" textlink="">
      <xdr:nvSpPr>
        <xdr:cNvPr id="39" name="TextBox 38">
          <a:extLst>
            <a:ext uri="{FF2B5EF4-FFF2-40B4-BE49-F238E27FC236}">
              <a16:creationId xmlns:a16="http://schemas.microsoft.com/office/drawing/2014/main" id="{7FC8533A-E88F-4376-4534-7CC08F56C979}"/>
            </a:ext>
          </a:extLst>
        </xdr:cNvPr>
        <xdr:cNvSpPr txBox="1"/>
      </xdr:nvSpPr>
      <xdr:spPr>
        <a:xfrm>
          <a:off x="165654" y="7109791"/>
          <a:ext cx="6997147" cy="2259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Recent Updates</a:t>
          </a:r>
        </a:p>
        <a:p>
          <a:pPr marL="171450" indent="-171450">
            <a:buFont typeface="Arial" panose="020B0604020202020204" pitchFamily="34" charset="0"/>
            <a:buChar char="•"/>
          </a:pPr>
          <a:r>
            <a:rPr lang="en-IN"/>
            <a:t>Prime Minister Narendra Modi inaugurated the </a:t>
          </a:r>
          <a:r>
            <a:rPr lang="en-IN" b="1"/>
            <a:t>Mahindra Tractors Skill Development</a:t>
          </a:r>
          <a:r>
            <a:rPr lang="en-IN" b="0"/>
            <a:t> Centre </a:t>
          </a:r>
          <a:r>
            <a:rPr lang="en-IN"/>
            <a:t>in Gadchiroli.</a:t>
          </a:r>
        </a:p>
        <a:p>
          <a:pPr marL="171450" indent="-171450">
            <a:buFont typeface="Arial" panose="020B0604020202020204" pitchFamily="34" charset="0"/>
            <a:buChar char="•"/>
          </a:pPr>
          <a:r>
            <a:rPr lang="en-IN"/>
            <a:t>Partnered with Embraer to pursue the Indian Air Force's C-390 </a:t>
          </a:r>
          <a:r>
            <a:rPr lang="en-IN" b="1"/>
            <a:t>Millennium transport aircraft contract </a:t>
          </a:r>
          <a:r>
            <a:rPr lang="en-IN"/>
            <a:t>under 'Make in India'.</a:t>
          </a:r>
        </a:p>
        <a:p>
          <a:pPr marL="171450" indent="-171450">
            <a:buFont typeface="Arial" panose="020B0604020202020204" pitchFamily="34" charset="0"/>
            <a:buChar char="•"/>
          </a:pPr>
          <a:r>
            <a:rPr lang="en-IN"/>
            <a:t>Released new facelifts for the </a:t>
          </a:r>
          <a:r>
            <a:rPr lang="en-IN" b="1"/>
            <a:t>Mahindra Thar </a:t>
          </a:r>
          <a:r>
            <a:rPr lang="en-IN"/>
            <a:t>and the </a:t>
          </a:r>
          <a:r>
            <a:rPr lang="en-IN" b="1"/>
            <a:t>Bolero range </a:t>
          </a:r>
          <a:r>
            <a:rPr lang="en-IN"/>
            <a:t>(Bolero &amp; Bolero Neo) with updated designs and features.</a:t>
          </a:r>
        </a:p>
        <a:p>
          <a:pPr marL="171450" indent="-171450">
            <a:buFont typeface="Arial" panose="020B0604020202020204" pitchFamily="34" charset="0"/>
            <a:buChar char="•"/>
          </a:pPr>
          <a:r>
            <a:rPr lang="en-IN"/>
            <a:t>eported strong results, with Mahindra Finance PAT (Profit After Tax) jumping </a:t>
          </a:r>
          <a:r>
            <a:rPr lang="en-IN" b="1"/>
            <a:t>57%</a:t>
          </a:r>
          <a:r>
            <a:rPr lang="en-IN"/>
            <a:t> and Tech Mahindra's EBIT (a key profit metric) rising </a:t>
          </a:r>
          <a:r>
            <a:rPr lang="en-IN" b="1"/>
            <a:t>32.7% year-on-year.</a:t>
          </a:r>
        </a:p>
        <a:p>
          <a:pPr marL="171450" indent="-171450">
            <a:buFont typeface="Arial" panose="020B0604020202020204" pitchFamily="34" charset="0"/>
            <a:buChar char="•"/>
          </a:pPr>
          <a:r>
            <a:rPr lang="en-IN"/>
            <a:t>Announced a special </a:t>
          </a:r>
          <a:r>
            <a:rPr lang="en-IN" b="1"/>
            <a:t>"Batman Edition" </a:t>
          </a:r>
          <a:r>
            <a:rPr lang="en-IN"/>
            <a:t>of its upcoming BE 6 electric SUV and expanded its Tech Mahindra partnership with Google Cloud for AI integration.</a:t>
          </a:r>
        </a:p>
        <a:p>
          <a:pPr marL="171450" indent="-171450">
            <a:buFont typeface="Arial" panose="020B0604020202020204" pitchFamily="34" charset="0"/>
            <a:buChar char="•"/>
          </a:pPr>
          <a:r>
            <a:rPr lang="en-IN"/>
            <a:t>Inaugurated a new Mahindra Tractors Skill Development Centre and </a:t>
          </a:r>
          <a:r>
            <a:rPr lang="en-IN" b="1"/>
            <a:t>launched 8 new tractor </a:t>
          </a:r>
          <a:r>
            <a:rPr lang="en-IN"/>
            <a:t>models under its Gromax brand.</a:t>
          </a:r>
          <a:endParaRPr lang="en-IN" sz="1100" b="1">
            <a:solidFill>
              <a:srgbClr val="FF0000"/>
            </a:solidFill>
          </a:endParaRPr>
        </a:p>
      </xdr:txBody>
    </xdr:sp>
    <xdr:clientData/>
  </xdr:twoCellAnchor>
  <xdr:twoCellAnchor>
    <xdr:from>
      <xdr:col>0</xdr:col>
      <xdr:colOff>119270</xdr:colOff>
      <xdr:row>52</xdr:row>
      <xdr:rowOff>6626</xdr:rowOff>
    </xdr:from>
    <xdr:to>
      <xdr:col>7</xdr:col>
      <xdr:colOff>635604</xdr:colOff>
      <xdr:row>54</xdr:row>
      <xdr:rowOff>3304</xdr:rowOff>
    </xdr:to>
    <xdr:sp macro="" textlink="">
      <xdr:nvSpPr>
        <xdr:cNvPr id="40" name="TextBox 39">
          <a:extLst>
            <a:ext uri="{FF2B5EF4-FFF2-40B4-BE49-F238E27FC236}">
              <a16:creationId xmlns:a16="http://schemas.microsoft.com/office/drawing/2014/main" id="{5FD68A99-B6B0-42A4-892D-72DB2FA2387B}"/>
            </a:ext>
          </a:extLst>
        </xdr:cNvPr>
        <xdr:cNvSpPr txBox="1"/>
      </xdr:nvSpPr>
      <xdr:spPr>
        <a:xfrm>
          <a:off x="119270" y="10396330"/>
          <a:ext cx="6221395" cy="367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chemeClr val="accent5">
                  <a:lumMod val="50000"/>
                </a:schemeClr>
              </a:solidFill>
            </a:rPr>
            <a:t>Dupont Analysis - </a:t>
          </a:r>
          <a:r>
            <a:rPr lang="en-IN" sz="2000" b="1" baseline="0">
              <a:solidFill>
                <a:schemeClr val="accent5">
                  <a:lumMod val="50000"/>
                </a:schemeClr>
              </a:solidFill>
            </a:rPr>
            <a:t>Return on Equity &amp; Return on Assets</a:t>
          </a:r>
        </a:p>
        <a:p>
          <a:endParaRPr lang="en-IN" sz="2400" b="1">
            <a:solidFill>
              <a:schemeClr val="accent5">
                <a:lumMod val="50000"/>
              </a:schemeClr>
            </a:solidFill>
          </a:endParaRPr>
        </a:p>
      </xdr:txBody>
    </xdr:sp>
    <xdr:clientData/>
  </xdr:twoCellAnchor>
  <xdr:twoCellAnchor>
    <xdr:from>
      <xdr:col>1</xdr:col>
      <xdr:colOff>0</xdr:colOff>
      <xdr:row>96</xdr:row>
      <xdr:rowOff>2649</xdr:rowOff>
    </xdr:from>
    <xdr:to>
      <xdr:col>8</xdr:col>
      <xdr:colOff>689112</xdr:colOff>
      <xdr:row>108</xdr:row>
      <xdr:rowOff>44388</xdr:rowOff>
    </xdr:to>
    <xdr:sp macro="" textlink="">
      <xdr:nvSpPr>
        <xdr:cNvPr id="4" name="TextBox 3">
          <a:extLst>
            <a:ext uri="{FF2B5EF4-FFF2-40B4-BE49-F238E27FC236}">
              <a16:creationId xmlns:a16="http://schemas.microsoft.com/office/drawing/2014/main" id="{9215076A-1FFA-4253-9A7C-61A97D473823}"/>
            </a:ext>
          </a:extLst>
        </xdr:cNvPr>
        <xdr:cNvSpPr txBox="1"/>
      </xdr:nvSpPr>
      <xdr:spPr>
        <a:xfrm>
          <a:off x="162757" y="17676610"/>
          <a:ext cx="6992258" cy="2261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Dupont</a:t>
          </a:r>
          <a:r>
            <a:rPr lang="en-IN" sz="1400" b="1" baseline="0">
              <a:solidFill>
                <a:srgbClr val="FF0000"/>
              </a:solidFill>
            </a:rPr>
            <a:t> Summary</a:t>
          </a:r>
          <a:endParaRPr lang="en-IN" sz="1400" b="1">
            <a:solidFill>
              <a:srgbClr val="FF0000"/>
            </a:solidFill>
          </a:endParaRPr>
        </a:p>
        <a:p>
          <a:pPr marL="171450" indent="-171450">
            <a:buFont typeface="Arial" panose="020B0604020202020204" pitchFamily="34" charset="0"/>
            <a:buChar char="•"/>
          </a:pPr>
          <a:r>
            <a:rPr lang="en-IN"/>
            <a:t>The company's </a:t>
          </a:r>
          <a:r>
            <a:rPr lang="en-IN" b="1"/>
            <a:t>Return on Equity (ROE)</a:t>
          </a:r>
          <a:r>
            <a:rPr lang="en-IN"/>
            <a:t> saw a major dip in Mar-20 (to 0.32%) but recovered strongly, peaking at 19.87% in Mar-23 and stabilizing around 18% by Mar-25.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IN"/>
            <a:t>This strong recovery is driven almost entirely by a higher </a:t>
          </a:r>
          <a:r>
            <a:rPr lang="en-IN" b="1"/>
            <a:t>Net Profit Margin</a:t>
          </a:r>
          <a:r>
            <a:rPr lang="en-IN"/>
            <a:t>, which jumped from a low of 0.17% in Mar-20 to over 8% in Mar-23, Mar-24 and Mar-25.</a:t>
          </a:r>
        </a:p>
        <a:p>
          <a:pPr marL="171450" indent="-171450">
            <a:buFont typeface="Arial" panose="020B0604020202020204" pitchFamily="34" charset="0"/>
            <a:buChar char="•"/>
          </a:pPr>
          <a:r>
            <a:rPr lang="en-IN"/>
            <a:t>The company's efficiency in using assets (</a:t>
          </a:r>
          <a:r>
            <a:rPr lang="en-IN" b="1"/>
            <a:t>Asset Turnover</a:t>
          </a:r>
          <a:r>
            <a:rPr lang="en-IN"/>
            <a:t>) also contributed to the recovery, improving from a low of 0.45x in Mar-21 to a peak of 0.64x in Mar-23.</a:t>
          </a:r>
        </a:p>
        <a:p>
          <a:pPr marL="171450" indent="-171450">
            <a:buFont typeface="Arial" panose="020B0604020202020204" pitchFamily="34" charset="0"/>
            <a:buChar char="•"/>
          </a:pPr>
          <a:r>
            <a:rPr lang="en-IN"/>
            <a:t>The company's high ROE in Mar-24 and Mar-25 (around 18%) is dependent on sustaining the high Net Profit Margin (around 8.1%) and asset efficiency (0.62x-0.63x) achieved after its recovery</a:t>
          </a:r>
        </a:p>
        <a:p>
          <a:pPr marL="171450" indent="-171450">
            <a:buFont typeface="Arial" panose="020B0604020202020204" pitchFamily="34" charset="0"/>
            <a:buChar char="•"/>
          </a:pPr>
          <a:r>
            <a:rPr lang="en-IN"/>
            <a:t>The company's ROE growth is </a:t>
          </a:r>
          <a:r>
            <a:rPr lang="en-IN" b="1"/>
            <a:t>healthy and of high quality</a:t>
          </a:r>
          <a:r>
            <a:rPr lang="en-IN"/>
            <a:t> because it was based on improving profitability and efficiency, not on adding debt. The challenge has now shifted from recovery to </a:t>
          </a:r>
          <a:r>
            <a:rPr lang="en-IN" i="1"/>
            <a:t>maintaining</a:t>
          </a:r>
          <a:r>
            <a:rPr lang="en-IN"/>
            <a:t> this new, higher level of performance.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nual" displayName="Annual" ref="A3:N19" headerRowCount="0" totalsRowShown="0" headerRowDxfId="30">
  <tableColumns count="14">
    <tableColumn id="1" xr3:uid="{00000000-0010-0000-0000-000001000000}" name="Column1" headerRowDxfId="29" dataDxfId="28"/>
    <tableColumn id="2" xr3:uid="{00000000-0010-0000-0000-000002000000}" name="Column2" headerRowDxfId="27"/>
    <tableColumn id="3" xr3:uid="{00000000-0010-0000-0000-000003000000}" name="Column3" headerRowDxfId="26"/>
    <tableColumn id="4" xr3:uid="{00000000-0010-0000-0000-000004000000}" name="Column4" headerRowDxfId="25"/>
    <tableColumn id="5" xr3:uid="{00000000-0010-0000-0000-000005000000}" name="Column5" headerRowDxfId="24"/>
    <tableColumn id="6" xr3:uid="{00000000-0010-0000-0000-000006000000}" name="Column6" headerRowDxfId="23"/>
    <tableColumn id="7" xr3:uid="{00000000-0010-0000-0000-000007000000}" name="Column7" headerRowDxfId="22"/>
    <tableColumn id="8" xr3:uid="{00000000-0010-0000-0000-000008000000}" name="Column8" headerRowDxfId="21"/>
    <tableColumn id="9" xr3:uid="{00000000-0010-0000-0000-000009000000}" name="Column9" headerRowDxfId="20"/>
    <tableColumn id="10" xr3:uid="{00000000-0010-0000-0000-00000A000000}" name="Column10" headerRowDxfId="19"/>
    <tableColumn id="11" xr3:uid="{00000000-0010-0000-0000-00000B000000}" name="Column11" headerRowDxfId="18"/>
    <tableColumn id="12" xr3:uid="{00000000-0010-0000-0000-00000C000000}" name="Column12" headerRowDxfId="17"/>
    <tableColumn id="13" xr3:uid="{00000000-0010-0000-0000-00000D000000}" name="Column13" headerRowDxfId="16" dataDxfId="15"/>
    <tableColumn id="14" xr3:uid="{00000000-0010-0000-0000-00000E000000}" name="Column14" headerRowDxfId="14" dataDxfId="1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rters" displayName="Quarters" ref="A3:K14" headerRowCount="0" totalsRowShown="0" headerRowDxfId="12">
  <tableColumns count="11">
    <tableColumn id="1" xr3:uid="{00000000-0010-0000-0100-000001000000}" name="Column1" headerRowDxfId="11"/>
    <tableColumn id="2" xr3:uid="{00000000-0010-0000-0100-000002000000}" name="Column2" headerRowDxfId="10"/>
    <tableColumn id="3" xr3:uid="{00000000-0010-0000-0100-000003000000}" name="Column3" headerRowDxfId="9"/>
    <tableColumn id="4" xr3:uid="{00000000-0010-0000-0100-000004000000}" name="Column4" headerRowDxfId="8"/>
    <tableColumn id="5" xr3:uid="{00000000-0010-0000-0100-000005000000}" name="Column5" headerRowDxfId="7"/>
    <tableColumn id="6" xr3:uid="{00000000-0010-0000-0100-000006000000}" name="Column6" headerRowDxfId="6"/>
    <tableColumn id="7" xr3:uid="{00000000-0010-0000-0100-000007000000}" name="Column7" headerRowDxfId="5"/>
    <tableColumn id="8" xr3:uid="{00000000-0010-0000-0100-000008000000}" name="Column8" headerRowDxfId="4"/>
    <tableColumn id="9" xr3:uid="{00000000-0010-0000-0100-000009000000}" name="Column9" headerRowDxfId="3"/>
    <tableColumn id="10" xr3:uid="{00000000-0010-0000-0100-00000A000000}" name="Column10" headerRowDxfId="2"/>
    <tableColumn id="11" xr3:uid="{00000000-0010-0000-0100-00000B000000}" name="Column11" headerRowDxfId="1"/>
  </tableColumns>
  <tableStyleInfo name="TableStyleLight1" showFirstColumn="0" showLastColumn="0" showRowStripes="0"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screener.in/"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screener.i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reener.i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creener.i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reener.in/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E57C-D2DF-4A4D-87AB-4AEE5924B5EF}">
  <dimension ref="B1:I110"/>
  <sheetViews>
    <sheetView showGridLines="0" tabSelected="1" topLeftCell="A57" zoomScale="115" zoomScaleNormal="115" zoomScaleSheetLayoutView="115" workbookViewId="0">
      <selection activeCell="N83" sqref="N83"/>
    </sheetView>
  </sheetViews>
  <sheetFormatPr defaultRowHeight="14.4" x14ac:dyDescent="0.3"/>
  <cols>
    <col min="1" max="1" width="2.33203125" style="23" customWidth="1"/>
    <col min="2" max="2" width="30.5546875" style="23" customWidth="1"/>
    <col min="3" max="3" width="10" style="23" bestFit="1" customWidth="1"/>
    <col min="4" max="4" width="9.109375" style="23" bestFit="1" customWidth="1"/>
    <col min="5" max="6" width="10" style="23" bestFit="1" customWidth="1"/>
    <col min="7" max="9" width="11.109375" style="23" bestFit="1" customWidth="1"/>
    <col min="10" max="16384" width="8.88671875" style="23"/>
  </cols>
  <sheetData>
    <row r="1" spans="2:9" x14ac:dyDescent="0.3">
      <c r="B1" s="28"/>
      <c r="C1" s="28"/>
      <c r="D1" s="28"/>
      <c r="E1" s="28"/>
      <c r="F1" s="28"/>
      <c r="G1" s="28"/>
      <c r="H1" s="28"/>
      <c r="I1" s="28"/>
    </row>
    <row r="2" spans="2:9" ht="6" customHeight="1" x14ac:dyDescent="0.3">
      <c r="B2" s="29"/>
      <c r="C2" s="29"/>
      <c r="D2" s="29"/>
      <c r="E2" s="29"/>
      <c r="F2" s="29"/>
      <c r="G2" s="29"/>
      <c r="H2" s="29"/>
      <c r="I2" s="29"/>
    </row>
    <row r="3" spans="2:9" ht="31.2" x14ac:dyDescent="0.3">
      <c r="B3" s="30" t="s">
        <v>81</v>
      </c>
      <c r="C3" s="29"/>
      <c r="D3" s="29"/>
      <c r="E3" s="29"/>
      <c r="F3" s="29"/>
      <c r="G3" s="29"/>
      <c r="H3" s="29"/>
      <c r="I3" s="29"/>
    </row>
    <row r="4" spans="2:9" x14ac:dyDescent="0.3">
      <c r="B4" s="29" t="s">
        <v>82</v>
      </c>
      <c r="C4" s="29"/>
      <c r="D4" s="29"/>
      <c r="E4" s="29"/>
      <c r="F4" s="29"/>
      <c r="G4" s="29"/>
      <c r="H4" s="29"/>
      <c r="I4" s="29"/>
    </row>
    <row r="5" spans="2:9" ht="15.6" x14ac:dyDescent="0.3">
      <c r="B5" s="31" t="s">
        <v>83</v>
      </c>
      <c r="C5" s="29"/>
      <c r="D5" s="29"/>
      <c r="E5" s="29"/>
      <c r="F5" s="29"/>
      <c r="G5" s="29"/>
      <c r="H5" s="29"/>
      <c r="I5" s="29"/>
    </row>
    <row r="6" spans="2:9" x14ac:dyDescent="0.3">
      <c r="B6" s="32" t="s">
        <v>84</v>
      </c>
      <c r="C6" s="29"/>
      <c r="D6" s="29"/>
      <c r="E6" s="29"/>
      <c r="F6" s="29"/>
      <c r="G6" s="29"/>
      <c r="H6" s="29"/>
      <c r="I6" s="29"/>
    </row>
    <row r="7" spans="2:9" ht="15" thickBot="1" x14ac:dyDescent="0.35">
      <c r="B7" s="33"/>
      <c r="C7" s="33"/>
      <c r="D7" s="33"/>
      <c r="E7" s="33"/>
      <c r="F7" s="33"/>
      <c r="G7" s="33"/>
      <c r="H7" s="33"/>
      <c r="I7" s="33"/>
    </row>
    <row r="8" spans="2:9" ht="18.600000000000001" thickTop="1" x14ac:dyDescent="0.35">
      <c r="B8" s="34" t="s">
        <v>85</v>
      </c>
      <c r="C8" s="29"/>
      <c r="D8" s="29"/>
      <c r="E8" s="29"/>
      <c r="F8" s="29"/>
      <c r="G8" s="29"/>
      <c r="H8" s="29"/>
      <c r="I8" s="29"/>
    </row>
    <row r="9" spans="2:9" ht="7.8" customHeight="1" x14ac:dyDescent="0.3">
      <c r="B9" s="35" t="s">
        <v>86</v>
      </c>
      <c r="C9" s="35"/>
      <c r="D9" s="35"/>
      <c r="E9" s="35"/>
      <c r="F9" s="35"/>
      <c r="G9" s="35"/>
      <c r="H9" s="35"/>
      <c r="I9" s="35"/>
    </row>
    <row r="10" spans="2:9" x14ac:dyDescent="0.3">
      <c r="B10" s="35"/>
      <c r="C10" s="35"/>
      <c r="D10" s="35"/>
      <c r="E10" s="35"/>
      <c r="F10" s="35"/>
      <c r="G10" s="35"/>
      <c r="H10" s="35"/>
      <c r="I10" s="35"/>
    </row>
    <row r="11" spans="2:9" x14ac:dyDescent="0.3">
      <c r="B11" s="35"/>
      <c r="C11" s="35"/>
      <c r="D11" s="35"/>
      <c r="E11" s="35"/>
      <c r="F11" s="35"/>
      <c r="G11" s="35"/>
      <c r="H11" s="35"/>
      <c r="I11" s="35"/>
    </row>
    <row r="12" spans="2:9" x14ac:dyDescent="0.3">
      <c r="B12" s="35"/>
      <c r="C12" s="35"/>
      <c r="D12" s="35"/>
      <c r="E12" s="35"/>
      <c r="F12" s="35"/>
      <c r="G12" s="35"/>
      <c r="H12" s="35"/>
      <c r="I12" s="35"/>
    </row>
    <row r="13" spans="2:9" x14ac:dyDescent="0.3">
      <c r="B13" s="35"/>
      <c r="C13" s="35"/>
      <c r="D13" s="35"/>
      <c r="E13" s="35"/>
      <c r="F13" s="35"/>
      <c r="G13" s="35"/>
      <c r="H13" s="35"/>
      <c r="I13" s="35"/>
    </row>
    <row r="14" spans="2:9" x14ac:dyDescent="0.3">
      <c r="B14" s="35"/>
      <c r="C14" s="35"/>
      <c r="D14" s="35"/>
      <c r="E14" s="35"/>
      <c r="F14" s="35"/>
      <c r="G14" s="35"/>
      <c r="H14" s="35"/>
      <c r="I14" s="35"/>
    </row>
    <row r="15" spans="2:9" x14ac:dyDescent="0.3">
      <c r="B15" s="35"/>
      <c r="C15" s="35"/>
      <c r="D15" s="35"/>
      <c r="E15" s="35"/>
      <c r="F15" s="35"/>
      <c r="G15" s="35"/>
      <c r="H15" s="35"/>
      <c r="I15" s="35"/>
    </row>
    <row r="16" spans="2:9" x14ac:dyDescent="0.3">
      <c r="B16" s="35"/>
      <c r="C16" s="35"/>
      <c r="D16" s="35"/>
      <c r="E16" s="35"/>
      <c r="F16" s="35"/>
      <c r="G16" s="35"/>
      <c r="H16" s="35"/>
      <c r="I16" s="35"/>
    </row>
    <row r="17" spans="2:9" x14ac:dyDescent="0.3">
      <c r="B17" s="35"/>
      <c r="C17" s="35"/>
      <c r="D17" s="35"/>
      <c r="E17" s="35"/>
      <c r="F17" s="35"/>
      <c r="G17" s="35"/>
      <c r="H17" s="35"/>
      <c r="I17" s="35"/>
    </row>
    <row r="18" spans="2:9" ht="18" x14ac:dyDescent="0.35">
      <c r="B18" s="34" t="s">
        <v>100</v>
      </c>
      <c r="C18" s="36"/>
      <c r="D18" s="36"/>
      <c r="E18" s="36"/>
      <c r="F18" s="36"/>
      <c r="G18" s="36"/>
      <c r="H18" s="36"/>
      <c r="I18" s="36"/>
    </row>
    <row r="19" spans="2:9" x14ac:dyDescent="0.3">
      <c r="B19" s="36"/>
      <c r="C19" s="36"/>
      <c r="D19" s="36"/>
      <c r="E19" s="36"/>
      <c r="F19" s="36"/>
      <c r="G19" s="36"/>
      <c r="H19" s="36"/>
      <c r="I19" s="36"/>
    </row>
    <row r="20" spans="2:9" x14ac:dyDescent="0.3">
      <c r="B20" s="36"/>
      <c r="C20" s="36"/>
      <c r="D20" s="36"/>
      <c r="E20" s="36"/>
      <c r="F20" s="36"/>
      <c r="G20" s="36"/>
      <c r="H20" s="36"/>
      <c r="I20" s="36"/>
    </row>
    <row r="21" spans="2:9" x14ac:dyDescent="0.3">
      <c r="B21" s="36"/>
      <c r="C21" s="36"/>
      <c r="D21" s="36"/>
      <c r="E21" s="36"/>
      <c r="F21" s="36"/>
      <c r="G21" s="36"/>
      <c r="H21" s="36"/>
      <c r="I21" s="36"/>
    </row>
    <row r="22" spans="2:9" x14ac:dyDescent="0.3">
      <c r="B22" s="36"/>
      <c r="C22" s="36"/>
      <c r="D22" s="36"/>
      <c r="E22" s="36"/>
      <c r="F22" s="36"/>
      <c r="G22" s="36"/>
      <c r="H22" s="36"/>
      <c r="I22" s="36"/>
    </row>
    <row r="23" spans="2:9" x14ac:dyDescent="0.3">
      <c r="B23" s="36"/>
      <c r="C23" s="36"/>
      <c r="D23" s="36"/>
      <c r="E23" s="36"/>
      <c r="F23" s="36"/>
      <c r="G23" s="36"/>
      <c r="H23" s="36"/>
      <c r="I23" s="36"/>
    </row>
    <row r="24" spans="2:9" x14ac:dyDescent="0.3">
      <c r="B24" s="36"/>
      <c r="C24" s="36"/>
      <c r="D24" s="36"/>
      <c r="E24" s="36"/>
      <c r="F24" s="36"/>
      <c r="G24" s="36"/>
      <c r="H24" s="36"/>
      <c r="I24" s="36"/>
    </row>
    <row r="25" spans="2:9" x14ac:dyDescent="0.3">
      <c r="B25" s="36"/>
      <c r="C25" s="36"/>
      <c r="D25" s="36"/>
      <c r="E25" s="36"/>
      <c r="F25" s="36"/>
      <c r="G25" s="36"/>
      <c r="H25" s="36"/>
      <c r="I25" s="36"/>
    </row>
    <row r="26" spans="2:9" x14ac:dyDescent="0.3">
      <c r="B26" s="36"/>
      <c r="C26" s="36"/>
      <c r="D26" s="36"/>
      <c r="E26" s="36"/>
      <c r="F26" s="36"/>
      <c r="G26" s="36"/>
      <c r="H26" s="36"/>
      <c r="I26" s="36"/>
    </row>
    <row r="27" spans="2:9" x14ac:dyDescent="0.3">
      <c r="B27" s="36"/>
      <c r="C27" s="36"/>
      <c r="D27" s="36"/>
      <c r="E27" s="36"/>
      <c r="F27" s="36"/>
      <c r="G27" s="36"/>
      <c r="H27" s="36"/>
      <c r="I27" s="36"/>
    </row>
    <row r="28" spans="2:9" x14ac:dyDescent="0.3">
      <c r="B28" s="36"/>
      <c r="C28" s="36"/>
      <c r="D28" s="36"/>
      <c r="E28" s="36"/>
      <c r="F28" s="36"/>
      <c r="G28" s="36"/>
      <c r="H28" s="36"/>
      <c r="I28" s="36"/>
    </row>
    <row r="29" spans="2:9" x14ac:dyDescent="0.3">
      <c r="B29" s="36"/>
      <c r="C29" s="36"/>
      <c r="D29" s="36"/>
      <c r="E29" s="36"/>
      <c r="F29" s="36"/>
      <c r="G29" s="36"/>
      <c r="H29" s="36"/>
      <c r="I29" s="36"/>
    </row>
    <row r="30" spans="2:9" x14ac:dyDescent="0.3">
      <c r="B30" s="36"/>
      <c r="C30" s="36"/>
      <c r="D30" s="36"/>
      <c r="E30" s="36"/>
      <c r="F30" s="36"/>
      <c r="G30" s="36"/>
      <c r="H30" s="36"/>
      <c r="I30" s="36"/>
    </row>
    <row r="31" spans="2:9" x14ac:dyDescent="0.3">
      <c r="B31" s="36"/>
      <c r="C31" s="36"/>
      <c r="D31" s="36"/>
      <c r="E31" s="36"/>
      <c r="F31" s="36"/>
      <c r="G31" s="36"/>
      <c r="H31" s="36"/>
      <c r="I31" s="36"/>
    </row>
    <row r="32" spans="2:9" x14ac:dyDescent="0.3">
      <c r="B32" s="29"/>
      <c r="C32" s="29"/>
      <c r="D32" s="29"/>
      <c r="E32" s="29"/>
      <c r="F32" s="29"/>
      <c r="G32" s="29"/>
      <c r="H32" s="29"/>
      <c r="I32" s="29"/>
    </row>
    <row r="33" spans="2:9" x14ac:dyDescent="0.3">
      <c r="B33" s="29"/>
      <c r="C33" s="29"/>
      <c r="D33" s="29"/>
      <c r="E33" s="29"/>
      <c r="F33" s="29"/>
      <c r="G33" s="29"/>
      <c r="H33" s="29"/>
      <c r="I33" s="29"/>
    </row>
    <row r="34" spans="2:9" x14ac:dyDescent="0.3">
      <c r="B34" s="29"/>
      <c r="C34" s="29"/>
      <c r="D34" s="29"/>
      <c r="E34" s="29"/>
      <c r="F34" s="29"/>
      <c r="G34" s="29"/>
      <c r="H34" s="29"/>
      <c r="I34" s="29"/>
    </row>
    <row r="35" spans="2:9" x14ac:dyDescent="0.3">
      <c r="B35" s="29"/>
      <c r="C35" s="29"/>
      <c r="D35" s="29"/>
      <c r="E35" s="29"/>
      <c r="F35" s="29"/>
      <c r="G35" s="29"/>
      <c r="H35" s="29"/>
      <c r="I35" s="29"/>
    </row>
    <row r="36" spans="2:9" x14ac:dyDescent="0.3">
      <c r="B36" s="29"/>
      <c r="C36" s="29"/>
      <c r="D36" s="29"/>
      <c r="E36" s="29"/>
      <c r="F36" s="29"/>
      <c r="G36" s="29"/>
      <c r="H36" s="29"/>
      <c r="I36" s="29"/>
    </row>
    <row r="37" spans="2:9" x14ac:dyDescent="0.3">
      <c r="B37" s="29"/>
      <c r="C37" s="29"/>
      <c r="D37" s="29"/>
      <c r="E37" s="29"/>
      <c r="F37" s="29"/>
      <c r="G37" s="29"/>
      <c r="H37" s="29"/>
      <c r="I37" s="29"/>
    </row>
    <row r="38" spans="2:9" x14ac:dyDescent="0.3">
      <c r="B38" s="29"/>
      <c r="C38" s="29"/>
      <c r="D38" s="29"/>
      <c r="E38" s="29"/>
      <c r="F38" s="29"/>
      <c r="G38" s="29"/>
      <c r="H38" s="29"/>
      <c r="I38" s="29"/>
    </row>
    <row r="39" spans="2:9" ht="18" x14ac:dyDescent="0.35">
      <c r="B39" s="34"/>
      <c r="C39" s="29"/>
      <c r="D39" s="29"/>
      <c r="E39" s="29"/>
      <c r="F39" s="29"/>
      <c r="G39" s="29"/>
      <c r="H39" s="29"/>
      <c r="I39" s="29"/>
    </row>
    <row r="40" spans="2:9" x14ac:dyDescent="0.3">
      <c r="B40" s="29"/>
      <c r="C40" s="29"/>
      <c r="D40" s="29"/>
      <c r="E40" s="29"/>
      <c r="F40" s="29"/>
      <c r="G40" s="29"/>
      <c r="H40" s="29"/>
      <c r="I40" s="29"/>
    </row>
    <row r="41" spans="2:9" x14ac:dyDescent="0.3">
      <c r="B41" s="29"/>
      <c r="C41" s="29"/>
      <c r="D41" s="29"/>
      <c r="E41" s="29"/>
      <c r="F41" s="29"/>
      <c r="G41" s="29"/>
      <c r="H41" s="29"/>
      <c r="I41" s="29"/>
    </row>
    <row r="42" spans="2:9" x14ac:dyDescent="0.3">
      <c r="B42" s="29"/>
      <c r="C42" s="29"/>
      <c r="D42" s="29"/>
      <c r="E42" s="29"/>
      <c r="F42" s="29"/>
      <c r="G42" s="29"/>
      <c r="H42" s="29"/>
      <c r="I42" s="29"/>
    </row>
    <row r="43" spans="2:9" x14ac:dyDescent="0.3">
      <c r="B43" s="29"/>
      <c r="C43" s="29"/>
      <c r="D43" s="29"/>
      <c r="E43" s="29"/>
      <c r="F43" s="29"/>
      <c r="G43" s="29"/>
      <c r="H43" s="29"/>
      <c r="I43" s="29"/>
    </row>
    <row r="44" spans="2:9" x14ac:dyDescent="0.3">
      <c r="B44" s="29"/>
      <c r="C44" s="29"/>
      <c r="D44" s="29"/>
      <c r="E44" s="29"/>
      <c r="F44" s="29"/>
      <c r="G44" s="29"/>
      <c r="H44" s="29"/>
      <c r="I44" s="29"/>
    </row>
    <row r="45" spans="2:9" x14ac:dyDescent="0.3">
      <c r="B45" s="29"/>
      <c r="C45" s="29"/>
      <c r="D45" s="29"/>
      <c r="E45" s="29"/>
      <c r="F45" s="29"/>
      <c r="G45" s="29"/>
      <c r="H45" s="29"/>
      <c r="I45" s="29"/>
    </row>
    <row r="46" spans="2:9" x14ac:dyDescent="0.3">
      <c r="B46" s="29"/>
      <c r="C46" s="29"/>
      <c r="D46" s="29"/>
      <c r="E46" s="29"/>
      <c r="F46" s="29"/>
      <c r="G46" s="29"/>
      <c r="H46" s="29"/>
      <c r="I46" s="29"/>
    </row>
    <row r="47" spans="2:9" x14ac:dyDescent="0.3">
      <c r="B47" s="29"/>
      <c r="C47" s="29"/>
      <c r="D47" s="29"/>
      <c r="E47" s="29"/>
      <c r="F47" s="29"/>
      <c r="G47" s="29"/>
      <c r="H47" s="29"/>
      <c r="I47" s="29"/>
    </row>
    <row r="48" spans="2:9" x14ac:dyDescent="0.3">
      <c r="B48" s="29"/>
      <c r="C48" s="29"/>
      <c r="D48" s="29"/>
      <c r="E48" s="29"/>
      <c r="F48" s="29"/>
      <c r="G48" s="29"/>
      <c r="H48" s="29"/>
      <c r="I48" s="29"/>
    </row>
    <row r="49" spans="2:9" x14ac:dyDescent="0.3">
      <c r="B49" s="29"/>
      <c r="C49" s="29"/>
      <c r="D49" s="29"/>
      <c r="E49" s="29"/>
      <c r="F49" s="29"/>
      <c r="G49" s="29"/>
      <c r="H49" s="29"/>
      <c r="I49" s="29"/>
    </row>
    <row r="50" spans="2:9" x14ac:dyDescent="0.3">
      <c r="B50" s="29"/>
      <c r="C50" s="29"/>
      <c r="D50" s="29"/>
      <c r="E50" s="29"/>
      <c r="F50" s="29"/>
      <c r="G50" s="29"/>
      <c r="H50" s="29"/>
      <c r="I50" s="29"/>
    </row>
    <row r="51" spans="2:9" x14ac:dyDescent="0.3">
      <c r="B51" s="28"/>
      <c r="C51" s="28"/>
      <c r="D51" s="28"/>
      <c r="E51" s="28"/>
      <c r="F51" s="28"/>
      <c r="G51" s="28"/>
      <c r="H51" s="28"/>
      <c r="I51" s="28"/>
    </row>
    <row r="55" spans="2:9" ht="4.2" customHeight="1" x14ac:dyDescent="0.3"/>
    <row r="56" spans="2:9" x14ac:dyDescent="0.3">
      <c r="B56" s="24" t="s">
        <v>87</v>
      </c>
      <c r="C56" s="24"/>
      <c r="D56" s="24"/>
      <c r="E56" s="24"/>
      <c r="F56" s="24"/>
      <c r="G56" s="24"/>
      <c r="H56" s="24"/>
      <c r="I56" s="24"/>
    </row>
    <row r="57" spans="2:9" x14ac:dyDescent="0.3">
      <c r="C57" s="25">
        <f>'Profit &amp; Loss'!E3</f>
        <v>43555</v>
      </c>
      <c r="D57" s="25">
        <f>'Profit &amp; Loss'!F3</f>
        <v>43921</v>
      </c>
      <c r="E57" s="25">
        <f>'Profit &amp; Loss'!G3</f>
        <v>44286</v>
      </c>
      <c r="F57" s="25">
        <f>'Profit &amp; Loss'!H3</f>
        <v>44651</v>
      </c>
      <c r="G57" s="25">
        <f>'Profit &amp; Loss'!I3</f>
        <v>45016</v>
      </c>
      <c r="H57" s="25">
        <f>'Profit &amp; Loss'!J3</f>
        <v>45382</v>
      </c>
      <c r="I57" s="25">
        <f>'Profit &amp; Loss'!K3</f>
        <v>45747</v>
      </c>
    </row>
    <row r="58" spans="2:9" x14ac:dyDescent="0.3">
      <c r="B58" s="23" t="s">
        <v>88</v>
      </c>
      <c r="C58" s="26">
        <f>'Profit &amp; Loss'!E12</f>
        <v>5315.46</v>
      </c>
      <c r="D58" s="26">
        <f>'Profit &amp; Loss'!F12</f>
        <v>127.04</v>
      </c>
      <c r="E58" s="26">
        <f>'Profit &amp; Loss'!G12</f>
        <v>1812.49</v>
      </c>
      <c r="F58" s="26">
        <f>'Profit &amp; Loss'!H12</f>
        <v>6577.32</v>
      </c>
      <c r="G58" s="26">
        <f>'Profit &amp; Loss'!I12</f>
        <v>10281.5</v>
      </c>
      <c r="H58" s="26">
        <f>'Profit &amp; Loss'!J12</f>
        <v>11268.64</v>
      </c>
      <c r="I58" s="26">
        <f>'Profit &amp; Loss'!K12</f>
        <v>12929.1</v>
      </c>
    </row>
    <row r="59" spans="2:9" x14ac:dyDescent="0.3">
      <c r="B59" s="23" t="s">
        <v>89</v>
      </c>
      <c r="C59" s="26">
        <f>(('Balance Sheet'!E4+'Balance Sheet'!E5)+('Balance Sheet'!D4+'Balance Sheet'!D5))/2</f>
        <v>38379.299999999996</v>
      </c>
      <c r="D59" s="26">
        <f>(('Balance Sheet'!F4+'Balance Sheet'!F5)+('Balance Sheet'!E4+'Balance Sheet'!E5))/2</f>
        <v>39976.36</v>
      </c>
      <c r="E59" s="26">
        <f>(('Balance Sheet'!G4+'Balance Sheet'!G5)+('Balance Sheet'!F4+'Balance Sheet'!F5))/2</f>
        <v>40775.614999999998</v>
      </c>
      <c r="F59" s="26">
        <f>(('Balance Sheet'!H4+'Balance Sheet'!H5)+('Balance Sheet'!G4+'Balance Sheet'!G5))/2</f>
        <v>44352.28</v>
      </c>
      <c r="G59" s="26">
        <f>(('Balance Sheet'!I4+'Balance Sheet'!I5)+('Balance Sheet'!H4+'Balance Sheet'!H5))/2</f>
        <v>51744.214999999997</v>
      </c>
      <c r="H59" s="26">
        <f>(('Balance Sheet'!J4+'Balance Sheet'!J5)+('Balance Sheet'!I4+'Balance Sheet'!I5))/2</f>
        <v>61278.17</v>
      </c>
      <c r="I59" s="26">
        <f>(('Balance Sheet'!K4+'Balance Sheet'!K5)+('Balance Sheet'!J4+'Balance Sheet'!J5))/2</f>
        <v>71614.705000000002</v>
      </c>
    </row>
    <row r="60" spans="2:9" x14ac:dyDescent="0.3">
      <c r="B60" s="27" t="s">
        <v>87</v>
      </c>
      <c r="C60" s="37">
        <f t="shared" ref="C60:I60" si="0">C58/C59</f>
        <v>0.13849809663021473</v>
      </c>
      <c r="D60" s="37">
        <f t="shared" si="0"/>
        <v>3.1778781259724498E-3</v>
      </c>
      <c r="E60" s="37">
        <f t="shared" si="0"/>
        <v>4.4450341214963898E-2</v>
      </c>
      <c r="F60" s="37">
        <f t="shared" si="0"/>
        <v>0.14829722395331199</v>
      </c>
      <c r="G60" s="37">
        <f t="shared" si="0"/>
        <v>0.19869854050351329</v>
      </c>
      <c r="H60" s="37">
        <f t="shared" si="0"/>
        <v>0.18389322004883632</v>
      </c>
      <c r="I60" s="37">
        <f t="shared" si="0"/>
        <v>0.18053694419323518</v>
      </c>
    </row>
    <row r="62" spans="2:9" x14ac:dyDescent="0.3">
      <c r="B62" s="24" t="s">
        <v>90</v>
      </c>
      <c r="C62" s="24"/>
      <c r="D62" s="24"/>
      <c r="E62" s="24"/>
      <c r="F62" s="24"/>
      <c r="G62" s="24"/>
      <c r="H62" s="24"/>
      <c r="I62" s="24"/>
    </row>
    <row r="63" spans="2:9" ht="4.8" customHeight="1" x14ac:dyDescent="0.3"/>
    <row r="64" spans="2:9" x14ac:dyDescent="0.3">
      <c r="C64" s="25">
        <f>C57</f>
        <v>43555</v>
      </c>
      <c r="D64" s="25">
        <f t="shared" ref="D64:I64" si="1">D57</f>
        <v>43921</v>
      </c>
      <c r="E64" s="25">
        <f t="shared" si="1"/>
        <v>44286</v>
      </c>
      <c r="F64" s="25">
        <f t="shared" si="1"/>
        <v>44651</v>
      </c>
      <c r="G64" s="25">
        <f t="shared" si="1"/>
        <v>45016</v>
      </c>
      <c r="H64" s="25">
        <f t="shared" si="1"/>
        <v>45382</v>
      </c>
      <c r="I64" s="25">
        <f t="shared" si="1"/>
        <v>45747</v>
      </c>
    </row>
    <row r="65" spans="2:9" x14ac:dyDescent="0.3">
      <c r="B65" s="29" t="str">
        <f>B58</f>
        <v>Net Profit</v>
      </c>
      <c r="C65" s="26">
        <f>C58</f>
        <v>5315.46</v>
      </c>
      <c r="D65" s="26">
        <f t="shared" ref="D65:I65" si="2">D58</f>
        <v>127.04</v>
      </c>
      <c r="E65" s="26">
        <f t="shared" si="2"/>
        <v>1812.49</v>
      </c>
      <c r="F65" s="26">
        <f t="shared" si="2"/>
        <v>6577.32</v>
      </c>
      <c r="G65" s="26">
        <f t="shared" si="2"/>
        <v>10281.5</v>
      </c>
      <c r="H65" s="26">
        <f t="shared" si="2"/>
        <v>11268.64</v>
      </c>
      <c r="I65" s="26">
        <f t="shared" si="2"/>
        <v>12929.1</v>
      </c>
    </row>
    <row r="66" spans="2:9" x14ac:dyDescent="0.3">
      <c r="B66" s="29" t="s">
        <v>91</v>
      </c>
      <c r="C66" s="26">
        <f>'Profit &amp; Loss'!E4</f>
        <v>104720.68</v>
      </c>
      <c r="D66" s="26">
        <f>'Profit &amp; Loss'!F4</f>
        <v>75381.929999999993</v>
      </c>
      <c r="E66" s="26">
        <f>'Profit &amp; Loss'!G4</f>
        <v>74277.78</v>
      </c>
      <c r="F66" s="26">
        <f>'Profit &amp; Loss'!H4</f>
        <v>90170.57</v>
      </c>
      <c r="G66" s="26">
        <f>'Profit &amp; Loss'!I4</f>
        <v>121268.55</v>
      </c>
      <c r="H66" s="26">
        <f>'Profit &amp; Loss'!J4</f>
        <v>139078.26999999999</v>
      </c>
      <c r="I66" s="26">
        <f>'Profit &amp; Loss'!K4</f>
        <v>159210.82</v>
      </c>
    </row>
    <row r="67" spans="2:9" x14ac:dyDescent="0.3">
      <c r="B67" s="39" t="s">
        <v>92</v>
      </c>
      <c r="C67" s="37">
        <f>C65/C66</f>
        <v>5.0758455731952853E-2</v>
      </c>
      <c r="D67" s="37">
        <f t="shared" ref="D67:I67" si="3">D65/D66</f>
        <v>1.6852845237578823E-3</v>
      </c>
      <c r="E67" s="37">
        <f t="shared" si="3"/>
        <v>2.4401510115138067E-2</v>
      </c>
      <c r="F67" s="37">
        <f t="shared" si="3"/>
        <v>7.2943089968267913E-2</v>
      </c>
      <c r="G67" s="37">
        <f t="shared" si="3"/>
        <v>8.4782905378187501E-2</v>
      </c>
      <c r="H67" s="37">
        <f t="shared" si="3"/>
        <v>8.1023728581035709E-2</v>
      </c>
      <c r="I67" s="37">
        <f t="shared" si="3"/>
        <v>8.1207420450444254E-2</v>
      </c>
    </row>
    <row r="69" spans="2:9" x14ac:dyDescent="0.3">
      <c r="B69" s="29" t="str">
        <f>B66</f>
        <v>Revenue</v>
      </c>
      <c r="C69" s="26">
        <f>C66</f>
        <v>104720.68</v>
      </c>
      <c r="D69" s="26">
        <f t="shared" ref="D69:I69" si="4">D66</f>
        <v>75381.929999999993</v>
      </c>
      <c r="E69" s="26">
        <f t="shared" si="4"/>
        <v>74277.78</v>
      </c>
      <c r="F69" s="26">
        <f t="shared" si="4"/>
        <v>90170.57</v>
      </c>
      <c r="G69" s="26">
        <f t="shared" si="4"/>
        <v>121268.55</v>
      </c>
      <c r="H69" s="26">
        <f t="shared" si="4"/>
        <v>139078.26999999999</v>
      </c>
      <c r="I69" s="26">
        <f t="shared" si="4"/>
        <v>159210.82</v>
      </c>
    </row>
    <row r="70" spans="2:9" x14ac:dyDescent="0.3">
      <c r="B70" s="29" t="s">
        <v>93</v>
      </c>
      <c r="C70" s="26">
        <f>('Balance Sheet'!E14+'Balance Sheet'!D14)/2</f>
        <v>149128.98499999999</v>
      </c>
      <c r="D70" s="26">
        <f>('Balance Sheet'!F14+'Balance Sheet'!E14)/2</f>
        <v>163802.39500000002</v>
      </c>
      <c r="E70" s="26">
        <f>('Balance Sheet'!G14+'Balance Sheet'!F14)/2</f>
        <v>165342.22999999998</v>
      </c>
      <c r="F70" s="26">
        <f>('Balance Sheet'!H14+'Balance Sheet'!G14)/2</f>
        <v>168678.40999999997</v>
      </c>
      <c r="G70" s="26">
        <f>('Balance Sheet'!I14+'Balance Sheet'!H14)/2</f>
        <v>188335.81</v>
      </c>
      <c r="H70" s="26">
        <f>('Balance Sheet'!J14+'Balance Sheet'!I14)/2</f>
        <v>219502.435</v>
      </c>
      <c r="I70" s="26">
        <f>('Balance Sheet'!K14+'Balance Sheet'!J14)/2</f>
        <v>255367.44999999998</v>
      </c>
    </row>
    <row r="71" spans="2:9" x14ac:dyDescent="0.3">
      <c r="B71" s="39" t="s">
        <v>94</v>
      </c>
      <c r="C71" s="38">
        <f>C69/C70</f>
        <v>0.70221546803929502</v>
      </c>
      <c r="D71" s="38">
        <f t="shared" ref="D71:I71" si="5">D69/D70</f>
        <v>0.46020041404156503</v>
      </c>
      <c r="E71" s="38">
        <f t="shared" si="5"/>
        <v>0.44923659249061781</v>
      </c>
      <c r="F71" s="38">
        <f t="shared" si="5"/>
        <v>0.53457090329461854</v>
      </c>
      <c r="G71" s="38">
        <f t="shared" si="5"/>
        <v>0.64389533780113306</v>
      </c>
      <c r="H71" s="38">
        <f t="shared" si="5"/>
        <v>0.63360695748090445</v>
      </c>
      <c r="I71" s="38">
        <f t="shared" si="5"/>
        <v>0.62345776644595863</v>
      </c>
    </row>
    <row r="72" spans="2:9" x14ac:dyDescent="0.3">
      <c r="E72" s="23" t="s">
        <v>101</v>
      </c>
    </row>
    <row r="73" spans="2:9" x14ac:dyDescent="0.3">
      <c r="B73" s="29" t="str">
        <f>B70</f>
        <v>Average Total Assets</v>
      </c>
      <c r="C73" s="26">
        <f>C70</f>
        <v>149128.98499999999</v>
      </c>
      <c r="D73" s="26">
        <f t="shared" ref="D73:I73" si="6">D70</f>
        <v>163802.39500000002</v>
      </c>
      <c r="E73" s="26">
        <f t="shared" si="6"/>
        <v>165342.22999999998</v>
      </c>
      <c r="F73" s="26">
        <f t="shared" si="6"/>
        <v>168678.40999999997</v>
      </c>
      <c r="G73" s="26">
        <f t="shared" si="6"/>
        <v>188335.81</v>
      </c>
      <c r="H73" s="26">
        <f t="shared" si="6"/>
        <v>219502.435</v>
      </c>
      <c r="I73" s="26">
        <f t="shared" si="6"/>
        <v>255367.44999999998</v>
      </c>
    </row>
    <row r="74" spans="2:9" x14ac:dyDescent="0.3">
      <c r="B74" s="29" t="str">
        <f>B59</f>
        <v>Average Shareholder Equity</v>
      </c>
      <c r="C74" s="26">
        <f>C59</f>
        <v>38379.299999999996</v>
      </c>
      <c r="D74" s="26">
        <f t="shared" ref="D74:I74" si="7">D59</f>
        <v>39976.36</v>
      </c>
      <c r="E74" s="26">
        <f t="shared" si="7"/>
        <v>40775.614999999998</v>
      </c>
      <c r="F74" s="26">
        <f t="shared" si="7"/>
        <v>44352.28</v>
      </c>
      <c r="G74" s="26">
        <f t="shared" si="7"/>
        <v>51744.214999999997</v>
      </c>
      <c r="H74" s="26">
        <f t="shared" si="7"/>
        <v>61278.17</v>
      </c>
      <c r="I74" s="26">
        <f t="shared" si="7"/>
        <v>71614.705000000002</v>
      </c>
    </row>
    <row r="75" spans="2:9" x14ac:dyDescent="0.3">
      <c r="B75" s="39" t="s">
        <v>95</v>
      </c>
      <c r="C75" s="38">
        <f>C73/C74</f>
        <v>3.8856619323437376</v>
      </c>
      <c r="D75" s="38">
        <f t="shared" ref="D75:I75" si="8">D73/D74</f>
        <v>4.0974814865585563</v>
      </c>
      <c r="E75" s="38">
        <f t="shared" si="8"/>
        <v>4.0549291531225213</v>
      </c>
      <c r="F75" s="38">
        <f t="shared" si="8"/>
        <v>3.8031508188530552</v>
      </c>
      <c r="G75" s="38">
        <f t="shared" si="8"/>
        <v>3.6397462015802153</v>
      </c>
      <c r="H75" s="38">
        <f t="shared" si="8"/>
        <v>3.5820657666506688</v>
      </c>
      <c r="I75" s="38">
        <f t="shared" si="8"/>
        <v>3.5658521528504514</v>
      </c>
    </row>
    <row r="77" spans="2:9" x14ac:dyDescent="0.3">
      <c r="B77" s="27" t="s">
        <v>96</v>
      </c>
      <c r="C77" s="37">
        <f t="shared" ref="C77:H77" si="9">C75*C71*C67</f>
        <v>0.13849809663021476</v>
      </c>
      <c r="D77" s="37">
        <f t="shared" si="9"/>
        <v>3.1778781259724494E-3</v>
      </c>
      <c r="E77" s="37">
        <f t="shared" si="9"/>
        <v>4.4450341214963891E-2</v>
      </c>
      <c r="F77" s="37">
        <f t="shared" si="9"/>
        <v>0.14829722395331196</v>
      </c>
      <c r="G77" s="37">
        <f t="shared" si="9"/>
        <v>0.19869854050351332</v>
      </c>
      <c r="H77" s="37">
        <f t="shared" si="9"/>
        <v>0.18389322004883635</v>
      </c>
      <c r="I77" s="37">
        <f>I75*I71*I67</f>
        <v>0.18053694419323518</v>
      </c>
    </row>
    <row r="79" spans="2:9" x14ac:dyDescent="0.3">
      <c r="B79" s="24" t="s">
        <v>97</v>
      </c>
      <c r="C79" s="24"/>
      <c r="D79" s="24"/>
      <c r="E79" s="24"/>
      <c r="F79" s="24"/>
      <c r="G79" s="24"/>
      <c r="H79" s="24"/>
      <c r="I79" s="24"/>
    </row>
    <row r="80" spans="2:9" x14ac:dyDescent="0.3">
      <c r="C80" s="25">
        <f>C57</f>
        <v>43555</v>
      </c>
      <c r="D80" s="25">
        <f t="shared" ref="D80:I80" si="10">D57</f>
        <v>43921</v>
      </c>
      <c r="E80" s="25">
        <f t="shared" si="10"/>
        <v>44286</v>
      </c>
      <c r="F80" s="25">
        <f t="shared" si="10"/>
        <v>44651</v>
      </c>
      <c r="G80" s="25">
        <f t="shared" si="10"/>
        <v>45016</v>
      </c>
      <c r="H80" s="25">
        <f t="shared" si="10"/>
        <v>45382</v>
      </c>
      <c r="I80" s="25">
        <f t="shared" si="10"/>
        <v>45747</v>
      </c>
    </row>
    <row r="81" spans="2:9" x14ac:dyDescent="0.3">
      <c r="B81" s="29" t="s">
        <v>88</v>
      </c>
      <c r="C81" s="26">
        <f>C58</f>
        <v>5315.46</v>
      </c>
      <c r="D81" s="26">
        <f t="shared" ref="D81:I81" si="11">D58</f>
        <v>127.04</v>
      </c>
      <c r="E81" s="26">
        <f t="shared" si="11"/>
        <v>1812.49</v>
      </c>
      <c r="F81" s="26">
        <f t="shared" si="11"/>
        <v>6577.32</v>
      </c>
      <c r="G81" s="26">
        <f t="shared" si="11"/>
        <v>10281.5</v>
      </c>
      <c r="H81" s="26">
        <f t="shared" si="11"/>
        <v>11268.64</v>
      </c>
      <c r="I81" s="26">
        <f t="shared" si="11"/>
        <v>12929.1</v>
      </c>
    </row>
    <row r="82" spans="2:9" x14ac:dyDescent="0.3">
      <c r="B82" s="29" t="s">
        <v>93</v>
      </c>
      <c r="C82" s="26">
        <f>C70</f>
        <v>149128.98499999999</v>
      </c>
      <c r="D82" s="26">
        <f t="shared" ref="D82:I82" si="12">D70</f>
        <v>163802.39500000002</v>
      </c>
      <c r="E82" s="26">
        <f t="shared" si="12"/>
        <v>165342.22999999998</v>
      </c>
      <c r="F82" s="26">
        <f t="shared" si="12"/>
        <v>168678.40999999997</v>
      </c>
      <c r="G82" s="26">
        <f t="shared" si="12"/>
        <v>188335.81</v>
      </c>
      <c r="H82" s="26">
        <f t="shared" si="12"/>
        <v>219502.435</v>
      </c>
      <c r="I82" s="26">
        <f t="shared" si="12"/>
        <v>255367.44999999998</v>
      </c>
    </row>
    <row r="83" spans="2:9" x14ac:dyDescent="0.3">
      <c r="B83" s="39" t="s">
        <v>97</v>
      </c>
      <c r="C83" s="37">
        <f>C81/C82</f>
        <v>3.5643372748765105E-2</v>
      </c>
      <c r="D83" s="37">
        <f t="shared" ref="D83:I83" si="13">D81/D82</f>
        <v>7.7556863561121917E-4</v>
      </c>
      <c r="E83" s="37">
        <f t="shared" si="13"/>
        <v>1.0962051255749969E-2</v>
      </c>
      <c r="F83" s="37">
        <f t="shared" si="13"/>
        <v>3.8993253493437609E-2</v>
      </c>
      <c r="G83" s="37">
        <f t="shared" si="13"/>
        <v>5.4591317498249539E-2</v>
      </c>
      <c r="H83" s="37">
        <f t="shared" si="13"/>
        <v>5.1337198149988633E-2</v>
      </c>
      <c r="I83" s="37">
        <f t="shared" si="13"/>
        <v>5.0629396972871839E-2</v>
      </c>
    </row>
    <row r="85" spans="2:9" x14ac:dyDescent="0.3">
      <c r="B85" s="24" t="s">
        <v>98</v>
      </c>
      <c r="C85" s="24"/>
      <c r="D85" s="24"/>
      <c r="E85" s="24"/>
      <c r="F85" s="24"/>
      <c r="G85" s="24"/>
      <c r="H85" s="24"/>
      <c r="I85" s="24"/>
    </row>
    <row r="86" spans="2:9" x14ac:dyDescent="0.3">
      <c r="C86" s="25">
        <f>C80</f>
        <v>43555</v>
      </c>
      <c r="D86" s="25">
        <f t="shared" ref="D86:I86" si="14">D80</f>
        <v>43921</v>
      </c>
      <c r="E86" s="25">
        <f t="shared" si="14"/>
        <v>44286</v>
      </c>
      <c r="F86" s="25">
        <f t="shared" si="14"/>
        <v>44651</v>
      </c>
      <c r="G86" s="25">
        <f t="shared" si="14"/>
        <v>45016</v>
      </c>
      <c r="H86" s="25">
        <f t="shared" si="14"/>
        <v>45382</v>
      </c>
      <c r="I86" s="25">
        <f t="shared" si="14"/>
        <v>45747</v>
      </c>
    </row>
    <row r="87" spans="2:9" x14ac:dyDescent="0.3">
      <c r="B87" s="29" t="str">
        <f>B81</f>
        <v>Net Profit</v>
      </c>
      <c r="C87" s="26">
        <f>C81</f>
        <v>5315.46</v>
      </c>
      <c r="D87" s="26">
        <f t="shared" ref="D87:I87" si="15">D81</f>
        <v>127.04</v>
      </c>
      <c r="E87" s="26">
        <f t="shared" si="15"/>
        <v>1812.49</v>
      </c>
      <c r="F87" s="26">
        <f t="shared" si="15"/>
        <v>6577.32</v>
      </c>
      <c r="G87" s="26">
        <f t="shared" si="15"/>
        <v>10281.5</v>
      </c>
      <c r="H87" s="26">
        <f t="shared" si="15"/>
        <v>11268.64</v>
      </c>
      <c r="I87" s="26">
        <f t="shared" si="15"/>
        <v>12929.1</v>
      </c>
    </row>
    <row r="88" spans="2:9" x14ac:dyDescent="0.3">
      <c r="B88" s="29" t="s">
        <v>91</v>
      </c>
      <c r="C88" s="26">
        <f>C66</f>
        <v>104720.68</v>
      </c>
      <c r="D88" s="26">
        <f t="shared" ref="D88:I88" si="16">D66</f>
        <v>75381.929999999993</v>
      </c>
      <c r="E88" s="26">
        <f t="shared" si="16"/>
        <v>74277.78</v>
      </c>
      <c r="F88" s="26">
        <f t="shared" si="16"/>
        <v>90170.57</v>
      </c>
      <c r="G88" s="26">
        <f t="shared" si="16"/>
        <v>121268.55</v>
      </c>
      <c r="H88" s="26">
        <f t="shared" si="16"/>
        <v>139078.26999999999</v>
      </c>
      <c r="I88" s="26">
        <f t="shared" si="16"/>
        <v>159210.82</v>
      </c>
    </row>
    <row r="89" spans="2:9" x14ac:dyDescent="0.3">
      <c r="B89" s="39" t="s">
        <v>92</v>
      </c>
      <c r="C89" s="37">
        <f>C87/C88</f>
        <v>5.0758455731952853E-2</v>
      </c>
      <c r="D89" s="37">
        <f t="shared" ref="D89:I89" si="17">D87/D88</f>
        <v>1.6852845237578823E-3</v>
      </c>
      <c r="E89" s="37">
        <f t="shared" si="17"/>
        <v>2.4401510115138067E-2</v>
      </c>
      <c r="F89" s="37">
        <f t="shared" si="17"/>
        <v>7.2943089968267913E-2</v>
      </c>
      <c r="G89" s="37">
        <f t="shared" si="17"/>
        <v>8.4782905378187501E-2</v>
      </c>
      <c r="H89" s="37">
        <f t="shared" si="17"/>
        <v>8.1023728581035709E-2</v>
      </c>
      <c r="I89" s="37">
        <f t="shared" si="17"/>
        <v>8.1207420450444254E-2</v>
      </c>
    </row>
    <row r="91" spans="2:9" x14ac:dyDescent="0.3">
      <c r="B91" s="29" t="s">
        <v>91</v>
      </c>
      <c r="C91" s="26">
        <f>C88</f>
        <v>104720.68</v>
      </c>
      <c r="D91" s="26">
        <f t="shared" ref="D91:I91" si="18">D88</f>
        <v>75381.929999999993</v>
      </c>
      <c r="E91" s="26">
        <f t="shared" si="18"/>
        <v>74277.78</v>
      </c>
      <c r="F91" s="26">
        <f t="shared" si="18"/>
        <v>90170.57</v>
      </c>
      <c r="G91" s="26">
        <f t="shared" si="18"/>
        <v>121268.55</v>
      </c>
      <c r="H91" s="26">
        <f t="shared" si="18"/>
        <v>139078.26999999999</v>
      </c>
      <c r="I91" s="26">
        <f t="shared" si="18"/>
        <v>159210.82</v>
      </c>
    </row>
    <row r="92" spans="2:9" x14ac:dyDescent="0.3">
      <c r="B92" s="29" t="s">
        <v>93</v>
      </c>
      <c r="C92" s="26">
        <f>C82</f>
        <v>149128.98499999999</v>
      </c>
      <c r="D92" s="26">
        <f t="shared" ref="D92:I92" si="19">D82</f>
        <v>163802.39500000002</v>
      </c>
      <c r="E92" s="26">
        <f t="shared" si="19"/>
        <v>165342.22999999998</v>
      </c>
      <c r="F92" s="26">
        <f t="shared" si="19"/>
        <v>168678.40999999997</v>
      </c>
      <c r="G92" s="26">
        <f t="shared" si="19"/>
        <v>188335.81</v>
      </c>
      <c r="H92" s="26">
        <f t="shared" si="19"/>
        <v>219502.435</v>
      </c>
      <c r="I92" s="26">
        <f t="shared" si="19"/>
        <v>255367.44999999998</v>
      </c>
    </row>
    <row r="93" spans="2:9" x14ac:dyDescent="0.3">
      <c r="B93" s="39" t="s">
        <v>94</v>
      </c>
      <c r="C93" s="38">
        <f>C91/C92</f>
        <v>0.70221546803929502</v>
      </c>
      <c r="D93" s="38">
        <f t="shared" ref="D93:I93" si="20">D91/D92</f>
        <v>0.46020041404156503</v>
      </c>
      <c r="E93" s="38">
        <f t="shared" si="20"/>
        <v>0.44923659249061781</v>
      </c>
      <c r="F93" s="38">
        <f t="shared" si="20"/>
        <v>0.53457090329461854</v>
      </c>
      <c r="G93" s="38">
        <f t="shared" si="20"/>
        <v>0.64389533780113306</v>
      </c>
      <c r="H93" s="38">
        <f t="shared" si="20"/>
        <v>0.63360695748090445</v>
      </c>
      <c r="I93" s="38">
        <f t="shared" si="20"/>
        <v>0.62345776644595863</v>
      </c>
    </row>
    <row r="95" spans="2:9" x14ac:dyDescent="0.3">
      <c r="B95" s="39" t="s">
        <v>99</v>
      </c>
      <c r="C95" s="37">
        <f>C89*C93</f>
        <v>3.5643372748765112E-2</v>
      </c>
      <c r="D95" s="37">
        <f t="shared" ref="D95:I95" si="21">D89*D93</f>
        <v>7.7556863561121917E-4</v>
      </c>
      <c r="E95" s="37">
        <f t="shared" si="21"/>
        <v>1.0962051255749969E-2</v>
      </c>
      <c r="F95" s="37">
        <f t="shared" si="21"/>
        <v>3.8993253493437609E-2</v>
      </c>
      <c r="G95" s="37">
        <f t="shared" si="21"/>
        <v>5.4591317498249539E-2</v>
      </c>
      <c r="H95" s="37">
        <f t="shared" si="21"/>
        <v>5.1337198149988633E-2</v>
      </c>
      <c r="I95" s="37">
        <f t="shared" si="21"/>
        <v>5.0629396972871839E-2</v>
      </c>
    </row>
    <row r="96" spans="2:9" x14ac:dyDescent="0.3">
      <c r="B96" s="29"/>
      <c r="C96" s="29"/>
      <c r="D96" s="29"/>
      <c r="E96" s="29"/>
      <c r="F96" s="29"/>
      <c r="G96" s="29"/>
      <c r="H96" s="29"/>
      <c r="I96" s="29"/>
    </row>
    <row r="97" spans="2:9" x14ac:dyDescent="0.3">
      <c r="B97" s="29"/>
      <c r="C97" s="29"/>
      <c r="D97" s="29"/>
      <c r="E97" s="29"/>
      <c r="F97" s="29"/>
      <c r="G97" s="29"/>
      <c r="H97" s="29"/>
      <c r="I97" s="29"/>
    </row>
    <row r="98" spans="2:9" x14ac:dyDescent="0.3">
      <c r="B98" s="29"/>
      <c r="C98" s="29"/>
      <c r="D98" s="29"/>
      <c r="E98" s="29"/>
      <c r="F98" s="29"/>
      <c r="G98" s="29"/>
      <c r="H98" s="29"/>
      <c r="I98" s="29"/>
    </row>
    <row r="99" spans="2:9" x14ac:dyDescent="0.3">
      <c r="B99" s="29"/>
      <c r="C99" s="29"/>
      <c r="D99" s="29"/>
      <c r="E99" s="29"/>
      <c r="F99" s="29"/>
      <c r="G99" s="29"/>
      <c r="H99" s="29"/>
      <c r="I99" s="29"/>
    </row>
    <row r="100" spans="2:9" x14ac:dyDescent="0.3">
      <c r="B100" s="29"/>
      <c r="C100" s="29"/>
      <c r="D100" s="29"/>
      <c r="E100" s="29"/>
      <c r="F100" s="29"/>
      <c r="G100" s="29"/>
      <c r="H100" s="29"/>
      <c r="I100" s="29"/>
    </row>
    <row r="101" spans="2:9" x14ac:dyDescent="0.3">
      <c r="B101" s="29"/>
      <c r="C101" s="29"/>
      <c r="D101" s="29"/>
      <c r="E101" s="29"/>
      <c r="F101" s="29"/>
      <c r="G101" s="29"/>
      <c r="H101" s="29"/>
      <c r="I101" s="29"/>
    </row>
    <row r="102" spans="2:9" x14ac:dyDescent="0.3">
      <c r="B102" s="29"/>
      <c r="C102" s="29"/>
      <c r="D102" s="29"/>
      <c r="E102" s="29"/>
      <c r="F102" s="29"/>
      <c r="G102" s="29"/>
      <c r="H102" s="29"/>
      <c r="I102" s="29"/>
    </row>
    <row r="103" spans="2:9" x14ac:dyDescent="0.3">
      <c r="B103" s="29"/>
      <c r="C103" s="29"/>
      <c r="D103" s="29"/>
      <c r="E103" s="29"/>
      <c r="F103" s="29"/>
      <c r="G103" s="29"/>
      <c r="H103" s="29"/>
      <c r="I103" s="29"/>
    </row>
    <row r="104" spans="2:9" x14ac:dyDescent="0.3">
      <c r="B104" s="29"/>
      <c r="C104" s="29"/>
      <c r="D104" s="29"/>
      <c r="E104" s="29"/>
      <c r="F104" s="29"/>
      <c r="G104" s="29"/>
      <c r="H104" s="29"/>
      <c r="I104" s="29"/>
    </row>
    <row r="105" spans="2:9" x14ac:dyDescent="0.3">
      <c r="B105" s="29"/>
      <c r="C105" s="29"/>
      <c r="D105" s="29"/>
      <c r="E105" s="29"/>
      <c r="F105" s="29"/>
      <c r="G105" s="29"/>
      <c r="H105" s="29"/>
      <c r="I105" s="29"/>
    </row>
    <row r="106" spans="2:9" x14ac:dyDescent="0.3">
      <c r="B106" s="29"/>
      <c r="C106" s="29"/>
      <c r="D106" s="29"/>
      <c r="E106" s="29"/>
      <c r="F106" s="29"/>
      <c r="G106" s="29"/>
      <c r="H106" s="29"/>
      <c r="I106" s="29"/>
    </row>
    <row r="107" spans="2:9" x14ac:dyDescent="0.3">
      <c r="B107" s="29"/>
      <c r="C107" s="29"/>
      <c r="D107" s="29"/>
      <c r="E107" s="29"/>
      <c r="F107" s="29"/>
      <c r="G107" s="29"/>
      <c r="H107" s="29"/>
      <c r="I107" s="29"/>
    </row>
    <row r="108" spans="2:9" x14ac:dyDescent="0.3">
      <c r="B108" s="29"/>
      <c r="C108" s="29"/>
      <c r="D108" s="29"/>
      <c r="E108" s="29"/>
      <c r="F108" s="29"/>
      <c r="G108" s="29"/>
      <c r="H108" s="29"/>
      <c r="I108" s="29"/>
    </row>
    <row r="109" spans="2:9" x14ac:dyDescent="0.3">
      <c r="B109" s="28"/>
      <c r="C109" s="28"/>
      <c r="D109" s="28"/>
      <c r="E109" s="28"/>
      <c r="F109" s="28"/>
      <c r="G109" s="28"/>
      <c r="H109" s="28"/>
      <c r="I109" s="28"/>
    </row>
    <row r="110" spans="2:9" x14ac:dyDescent="0.3">
      <c r="B110" s="29"/>
      <c r="C110" s="29"/>
      <c r="D110" s="29"/>
      <c r="E110" s="29"/>
      <c r="F110" s="29"/>
      <c r="G110" s="29"/>
      <c r="H110" s="29"/>
      <c r="I110" s="29"/>
    </row>
  </sheetData>
  <sheetProtection algorithmName="SHA-512" hashValue="ERt5BnWY+3gT3OQOuibV0IdROZID8GfxqNG4VCSe4kr90lYZHyplyTCg+eom9rgjKTYofk2v/hb04x8FmFIG6g==" saltValue="SJR2lk8ZBZDPSujsHnNP4A==" spinCount="100000" sheet="1" objects="1" scenarios="1"/>
  <mergeCells count="5">
    <mergeCell ref="B9:I17"/>
    <mergeCell ref="B56:I56"/>
    <mergeCell ref="B62:I62"/>
    <mergeCell ref="B79:I79"/>
    <mergeCell ref="B85:I85"/>
  </mergeCells>
  <pageMargins left="0.7" right="0.7" top="0.75" bottom="0.75" header="0.3" footer="0.3"/>
  <pageSetup scale="83" orientation="portrait" r:id="rId1"/>
  <rowBreaks count="1" manualBreakCount="1">
    <brk id="52" max="16383" man="1"/>
  </rowBreaks>
  <ignoredErrors>
    <ignoredError sqref="C57:I59 C64:I66 C69:I70 C73:I74 C80:I82 C86:I88 C91:I92"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5"/>
  <sheetViews>
    <sheetView zoomScale="120" zoomScaleNormal="120" zoomScaleSheetLayoutView="100" zoomScalePageLayoutView="120" workbookViewId="0">
      <pane xSplit="1" ySplit="4" topLeftCell="D5" activePane="bottomRight" state="frozen"/>
      <selection activeCell="I2" sqref="I2"/>
      <selection pane="topRight" activeCell="I2" sqref="I2"/>
      <selection pane="bottomLeft" activeCell="I2" sqref="I2"/>
      <selection pane="bottomRight" activeCell="F12" activeCellId="1" sqref="F4 F12"/>
    </sheetView>
  </sheetViews>
  <sheetFormatPr defaultColWidth="8.77734375" defaultRowHeight="14.4" x14ac:dyDescent="0.3"/>
  <cols>
    <col min="1" max="1" width="20.6640625" customWidth="1"/>
    <col min="2" max="6" width="13.44140625" customWidth="1"/>
    <col min="7" max="7" width="14.77734375" bestFit="1" customWidth="1"/>
    <col min="8" max="11" width="13.44140625" customWidth="1"/>
    <col min="12" max="12" width="13.33203125" customWidth="1"/>
    <col min="13" max="14" width="12.109375" customWidth="1"/>
  </cols>
  <sheetData>
    <row r="1" spans="1:14" s="2" customFormat="1" x14ac:dyDescent="0.3">
      <c r="A1" s="2" t="str">
        <f>'Data Sheet'!B1</f>
        <v>MAHINDRA &amp; MAHINDRA LTD</v>
      </c>
      <c r="H1" t="str">
        <f>UPDATE</f>
        <v/>
      </c>
      <c r="J1" s="3"/>
      <c r="K1" s="3"/>
      <c r="M1" s="2" t="s">
        <v>1</v>
      </c>
    </row>
    <row r="3" spans="1:14" s="2" customFormat="1" x14ac:dyDescent="0.3">
      <c r="A3" s="11" t="s">
        <v>2</v>
      </c>
      <c r="B3" s="12">
        <f>'Data Sheet'!B16</f>
        <v>42460</v>
      </c>
      <c r="C3" s="12">
        <f>'Data Sheet'!C16</f>
        <v>42825</v>
      </c>
      <c r="D3" s="12">
        <f>'Data Sheet'!D16</f>
        <v>43190</v>
      </c>
      <c r="E3" s="12">
        <f>'Data Sheet'!E16</f>
        <v>43555</v>
      </c>
      <c r="F3" s="12">
        <f>'Data Sheet'!F16</f>
        <v>43921</v>
      </c>
      <c r="G3" s="12">
        <f>'Data Sheet'!G16</f>
        <v>44286</v>
      </c>
      <c r="H3" s="12">
        <f>'Data Sheet'!H16</f>
        <v>44651</v>
      </c>
      <c r="I3" s="12">
        <f>'Data Sheet'!I16</f>
        <v>45016</v>
      </c>
      <c r="J3" s="12">
        <f>'Data Sheet'!J16</f>
        <v>45382</v>
      </c>
      <c r="K3" s="12">
        <f>'Data Sheet'!K16</f>
        <v>45747</v>
      </c>
      <c r="L3" s="13" t="s">
        <v>3</v>
      </c>
      <c r="M3" s="13" t="s">
        <v>4</v>
      </c>
      <c r="N3" s="13" t="s">
        <v>5</v>
      </c>
    </row>
    <row r="4" spans="1:14" s="2" customFormat="1" x14ac:dyDescent="0.3">
      <c r="A4" s="2" t="s">
        <v>6</v>
      </c>
      <c r="B4" s="1">
        <f>'Data Sheet'!B17</f>
        <v>75841.42</v>
      </c>
      <c r="C4" s="1">
        <f>'Data Sheet'!C17</f>
        <v>83773.05</v>
      </c>
      <c r="D4" s="1">
        <f>'Data Sheet'!D17</f>
        <v>92093.95</v>
      </c>
      <c r="E4" s="1">
        <f>'Data Sheet'!E17</f>
        <v>104720.68</v>
      </c>
      <c r="F4" s="1">
        <f>'Data Sheet'!F17</f>
        <v>75381.929999999993</v>
      </c>
      <c r="G4" s="1">
        <f>'Data Sheet'!G17</f>
        <v>74277.78</v>
      </c>
      <c r="H4" s="1">
        <f>'Data Sheet'!H17</f>
        <v>90170.57</v>
      </c>
      <c r="I4" s="1">
        <f>'Data Sheet'!I17</f>
        <v>121268.55</v>
      </c>
      <c r="J4" s="1">
        <f>'Data Sheet'!J17</f>
        <v>139078.26999999999</v>
      </c>
      <c r="K4" s="1">
        <f>'Data Sheet'!K17</f>
        <v>159210.82</v>
      </c>
      <c r="L4" s="1">
        <f>SUM(Quarters!H4:K4)</f>
        <v>167522.29</v>
      </c>
      <c r="M4" s="1">
        <f>$K4+M23*K4</f>
        <v>192431.05779815</v>
      </c>
      <c r="N4" s="1">
        <f>$K4+N23*L4</f>
        <v>172837.41676343585</v>
      </c>
    </row>
    <row r="5" spans="1:14" x14ac:dyDescent="0.3">
      <c r="A5" t="s">
        <v>7</v>
      </c>
      <c r="B5" s="6">
        <f>SUM('Data Sheet'!B18,'Data Sheet'!B20:B24, -1*'Data Sheet'!B19)</f>
        <v>65758.98000000001</v>
      </c>
      <c r="C5" s="6">
        <f>SUM('Data Sheet'!C18,'Data Sheet'!C20:C24, -1*'Data Sheet'!C19)</f>
        <v>73038.22</v>
      </c>
      <c r="D5" s="6">
        <f>SUM('Data Sheet'!D18,'Data Sheet'!D20:D24, -1*'Data Sheet'!D19)</f>
        <v>78867.850000000006</v>
      </c>
      <c r="E5" s="6">
        <f>SUM('Data Sheet'!E18,'Data Sheet'!E20:E24, -1*'Data Sheet'!E19)</f>
        <v>89514.17</v>
      </c>
      <c r="F5" s="6">
        <f>SUM('Data Sheet'!F18,'Data Sheet'!F20:F24, -1*'Data Sheet'!F19)</f>
        <v>65224.180000000008</v>
      </c>
      <c r="G5" s="6">
        <f>SUM('Data Sheet'!G18,'Data Sheet'!G20:G24, -1*'Data Sheet'!G19)</f>
        <v>62790.759999999995</v>
      </c>
      <c r="H5" s="6">
        <f>SUM('Data Sheet'!H18,'Data Sheet'!H20:H24, -1*'Data Sheet'!H19)</f>
        <v>75487.719999999987</v>
      </c>
      <c r="I5" s="6">
        <f>SUM('Data Sheet'!I18,'Data Sheet'!I20:I24, -1*'Data Sheet'!I19)</f>
        <v>100983.25999999998</v>
      </c>
      <c r="J5" s="6">
        <f>SUM('Data Sheet'!J18,'Data Sheet'!J20:J24, -1*'Data Sheet'!J19)</f>
        <v>114186.34</v>
      </c>
      <c r="K5" s="6">
        <f>SUM('Data Sheet'!K18,'Data Sheet'!K20:K24, -1*'Data Sheet'!K19)</f>
        <v>128692.63</v>
      </c>
      <c r="L5" s="6">
        <f>SUM(Quarters!H5:K5)</f>
        <v>136019.41999999998</v>
      </c>
      <c r="M5" s="6">
        <f t="shared" ref="M5:N5" si="0">M4-M6</f>
        <v>156244.04890651174</v>
      </c>
      <c r="N5" s="6">
        <f t="shared" si="0"/>
        <v>145397.44223109135</v>
      </c>
    </row>
    <row r="6" spans="1:14" s="2" customFormat="1" x14ac:dyDescent="0.3">
      <c r="A6" s="2" t="s">
        <v>8</v>
      </c>
      <c r="B6" s="1">
        <f>B4-B5</f>
        <v>10082.439999999988</v>
      </c>
      <c r="C6" s="1">
        <f t="shared" ref="C6:K6" si="1">C4-C5</f>
        <v>10734.830000000002</v>
      </c>
      <c r="D6" s="1">
        <f t="shared" si="1"/>
        <v>13226.099999999991</v>
      </c>
      <c r="E6" s="1">
        <f t="shared" si="1"/>
        <v>15206.509999999995</v>
      </c>
      <c r="F6" s="1">
        <f t="shared" si="1"/>
        <v>10157.749999999985</v>
      </c>
      <c r="G6" s="1">
        <f t="shared" si="1"/>
        <v>11487.020000000004</v>
      </c>
      <c r="H6" s="1">
        <f t="shared" si="1"/>
        <v>14682.85000000002</v>
      </c>
      <c r="I6" s="1">
        <f t="shared" si="1"/>
        <v>20285.290000000023</v>
      </c>
      <c r="J6" s="1">
        <f t="shared" si="1"/>
        <v>24891.929999999993</v>
      </c>
      <c r="K6" s="1">
        <f t="shared" si="1"/>
        <v>30518.190000000002</v>
      </c>
      <c r="L6" s="1">
        <f>SUM(Quarters!H6:K6)</f>
        <v>31502.87</v>
      </c>
      <c r="M6" s="1">
        <f>M4*M24</f>
        <v>36187.008891638267</v>
      </c>
      <c r="N6" s="1">
        <f>N4*N24</f>
        <v>27439.974532344495</v>
      </c>
    </row>
    <row r="7" spans="1:14" x14ac:dyDescent="0.3">
      <c r="A7" t="s">
        <v>9</v>
      </c>
      <c r="B7" s="6">
        <f>'Data Sheet'!B25</f>
        <v>1398.83</v>
      </c>
      <c r="C7" s="6">
        <f>'Data Sheet'!C25</f>
        <v>2076.61</v>
      </c>
      <c r="D7" s="6">
        <f>'Data Sheet'!D25</f>
        <v>4366.41</v>
      </c>
      <c r="E7" s="6">
        <f>'Data Sheet'!E25</f>
        <v>2676.45</v>
      </c>
      <c r="F7" s="6">
        <f>'Data Sheet'!F25</f>
        <v>884.69</v>
      </c>
      <c r="G7" s="6">
        <f>'Data Sheet'!G25</f>
        <v>1151.51</v>
      </c>
      <c r="H7" s="6">
        <f>'Data Sheet'!H25</f>
        <v>3204.47</v>
      </c>
      <c r="I7" s="6">
        <f>'Data Sheet'!I25</f>
        <v>3961.45</v>
      </c>
      <c r="J7" s="6">
        <f>'Data Sheet'!J25</f>
        <v>3297.85</v>
      </c>
      <c r="K7" s="6">
        <f>'Data Sheet'!K25</f>
        <v>3718.47</v>
      </c>
      <c r="L7" s="6">
        <f>SUM(Quarters!H7:K7)</f>
        <v>4380.32</v>
      </c>
      <c r="M7" s="6">
        <v>0</v>
      </c>
      <c r="N7" s="6">
        <v>0</v>
      </c>
    </row>
    <row r="8" spans="1:14" x14ac:dyDescent="0.3">
      <c r="A8" t="s">
        <v>10</v>
      </c>
      <c r="B8" s="6">
        <f>'Data Sheet'!B26</f>
        <v>2441.65</v>
      </c>
      <c r="C8" s="6">
        <f>'Data Sheet'!C26</f>
        <v>2812.72</v>
      </c>
      <c r="D8" s="6">
        <f>'Data Sheet'!D26</f>
        <v>3279.9</v>
      </c>
      <c r="E8" s="6">
        <f>'Data Sheet'!E26</f>
        <v>3990.77</v>
      </c>
      <c r="F8" s="6">
        <f>'Data Sheet'!F26</f>
        <v>3366.68</v>
      </c>
      <c r="G8" s="6">
        <f>'Data Sheet'!G26</f>
        <v>3378.11</v>
      </c>
      <c r="H8" s="6">
        <f>'Data Sheet'!H26</f>
        <v>3507.5</v>
      </c>
      <c r="I8" s="6">
        <f>'Data Sheet'!I26</f>
        <v>4356.8100000000004</v>
      </c>
      <c r="J8" s="6">
        <f>'Data Sheet'!J26</f>
        <v>4723.78</v>
      </c>
      <c r="K8" s="6">
        <f>'Data Sheet'!K26</f>
        <v>6073.65</v>
      </c>
      <c r="L8" s="6">
        <f>SUM(Quarters!H8:K8)</f>
        <v>6373.4400000000005</v>
      </c>
      <c r="M8" s="6">
        <f>+$L8</f>
        <v>6373.4400000000005</v>
      </c>
      <c r="N8" s="6">
        <f>+$L8</f>
        <v>6373.4400000000005</v>
      </c>
    </row>
    <row r="9" spans="1:14" x14ac:dyDescent="0.3">
      <c r="A9" t="s">
        <v>11</v>
      </c>
      <c r="B9" s="6">
        <f>'Data Sheet'!B27</f>
        <v>3367.59</v>
      </c>
      <c r="C9" s="6">
        <f>'Data Sheet'!C27</f>
        <v>3648.46</v>
      </c>
      <c r="D9" s="6">
        <f>'Data Sheet'!D27</f>
        <v>3987.09</v>
      </c>
      <c r="E9" s="6">
        <f>'Data Sheet'!E27</f>
        <v>5021.3500000000004</v>
      </c>
      <c r="F9" s="6">
        <f>'Data Sheet'!F27</f>
        <v>6021.15</v>
      </c>
      <c r="G9" s="6">
        <f>'Data Sheet'!G27</f>
        <v>6102.22</v>
      </c>
      <c r="H9" s="6">
        <f>'Data Sheet'!H27</f>
        <v>5018.05</v>
      </c>
      <c r="I9" s="6">
        <f>'Data Sheet'!I27</f>
        <v>5829.7</v>
      </c>
      <c r="J9" s="6">
        <f>'Data Sheet'!J27</f>
        <v>7488.21</v>
      </c>
      <c r="K9" s="6">
        <f>'Data Sheet'!K27</f>
        <v>9083.39</v>
      </c>
      <c r="L9" s="6">
        <f>SUM(Quarters!H9:K9)</f>
        <v>9406.8900000000012</v>
      </c>
      <c r="M9" s="6">
        <f>+$L9</f>
        <v>9406.8900000000012</v>
      </c>
      <c r="N9" s="6">
        <f>+$L9</f>
        <v>9406.8900000000012</v>
      </c>
    </row>
    <row r="10" spans="1:14" x14ac:dyDescent="0.3">
      <c r="A10" t="s">
        <v>12</v>
      </c>
      <c r="B10" s="6">
        <f>'Data Sheet'!B28</f>
        <v>5672.03</v>
      </c>
      <c r="C10" s="6">
        <f>'Data Sheet'!C28</f>
        <v>6350.26</v>
      </c>
      <c r="D10" s="6">
        <f>'Data Sheet'!D28</f>
        <v>10325.52</v>
      </c>
      <c r="E10" s="6">
        <f>'Data Sheet'!E28</f>
        <v>8870.84</v>
      </c>
      <c r="F10" s="6">
        <f>'Data Sheet'!F28</f>
        <v>1654.61</v>
      </c>
      <c r="G10" s="6">
        <f>'Data Sheet'!G28</f>
        <v>3158.2</v>
      </c>
      <c r="H10" s="6">
        <f>'Data Sheet'!H28</f>
        <v>9361.77</v>
      </c>
      <c r="I10" s="6">
        <f>'Data Sheet'!I28</f>
        <v>14060.23</v>
      </c>
      <c r="J10" s="6">
        <f>'Data Sheet'!J28</f>
        <v>15977.79</v>
      </c>
      <c r="K10" s="6">
        <f>'Data Sheet'!K28</f>
        <v>19079.62</v>
      </c>
      <c r="L10" s="6">
        <f>SUM(Quarters!H10:K10)</f>
        <v>20102.86</v>
      </c>
      <c r="M10" s="6">
        <f>M6+M7-SUM(M8:M9)</f>
        <v>20406.678891638265</v>
      </c>
      <c r="N10" s="6">
        <f>N6+N7-SUM(N8:N9)</f>
        <v>11659.644532344493</v>
      </c>
    </row>
    <row r="11" spans="1:14" x14ac:dyDescent="0.3">
      <c r="A11" t="s">
        <v>13</v>
      </c>
      <c r="B11" s="6">
        <f>'Data Sheet'!B29</f>
        <v>2117.5300000000002</v>
      </c>
      <c r="C11" s="6">
        <f>'Data Sheet'!C29</f>
        <v>2299.73</v>
      </c>
      <c r="D11" s="6">
        <f>'Data Sheet'!D29</f>
        <v>2367.73</v>
      </c>
      <c r="E11" s="6">
        <f>'Data Sheet'!E29</f>
        <v>2853.99</v>
      </c>
      <c r="F11" s="6">
        <f>'Data Sheet'!F29</f>
        <v>1975.61</v>
      </c>
      <c r="G11" s="6">
        <f>'Data Sheet'!G29</f>
        <v>1645.81</v>
      </c>
      <c r="H11" s="6">
        <f>'Data Sheet'!H29</f>
        <v>2108.7600000000002</v>
      </c>
      <c r="I11" s="6">
        <f>'Data Sheet'!I29</f>
        <v>2685.75</v>
      </c>
      <c r="J11" s="6">
        <f>'Data Sheet'!J29</f>
        <v>3707.97</v>
      </c>
      <c r="K11" s="6">
        <f>'Data Sheet'!K29</f>
        <v>5006.45</v>
      </c>
      <c r="L11" s="6">
        <f>SUM(Quarters!H11:K11)</f>
        <v>5198.8899999999994</v>
      </c>
      <c r="M11" s="7">
        <f>IF($L10&gt;0,$L11/$L10,0)</f>
        <v>0.25861444590471205</v>
      </c>
      <c r="N11" s="7">
        <f>IF($L10&gt;0,$L11/$L10,0)</f>
        <v>0.25861444590471205</v>
      </c>
    </row>
    <row r="12" spans="1:14" s="2" customFormat="1" x14ac:dyDescent="0.3">
      <c r="A12" s="2" t="s">
        <v>14</v>
      </c>
      <c r="B12" s="1">
        <f>'Data Sheet'!B30</f>
        <v>3148.43</v>
      </c>
      <c r="C12" s="1">
        <f>'Data Sheet'!C30</f>
        <v>3698.04</v>
      </c>
      <c r="D12" s="1">
        <f>'Data Sheet'!D30</f>
        <v>7510.39</v>
      </c>
      <c r="E12" s="1">
        <f>'Data Sheet'!E30</f>
        <v>5315.46</v>
      </c>
      <c r="F12" s="1">
        <f>'Data Sheet'!F30</f>
        <v>127.04</v>
      </c>
      <c r="G12" s="1">
        <f>'Data Sheet'!G30</f>
        <v>1812.49</v>
      </c>
      <c r="H12" s="1">
        <f>'Data Sheet'!H30</f>
        <v>6577.32</v>
      </c>
      <c r="I12" s="1">
        <f>'Data Sheet'!I30</f>
        <v>10281.5</v>
      </c>
      <c r="J12" s="1">
        <f>'Data Sheet'!J30</f>
        <v>11268.64</v>
      </c>
      <c r="K12" s="1">
        <f>'Data Sheet'!K30</f>
        <v>12929.1</v>
      </c>
      <c r="L12" s="1">
        <f>SUM(Quarters!H12:K12)</f>
        <v>13729.789999999999</v>
      </c>
      <c r="M12" s="1">
        <f>M10-M11*M10</f>
        <v>15129.216937321851</v>
      </c>
      <c r="N12" s="1">
        <f>N10-N11*N10</f>
        <v>8644.2920221663171</v>
      </c>
    </row>
    <row r="13" spans="1:14" x14ac:dyDescent="0.3">
      <c r="A13" t="s">
        <v>48</v>
      </c>
      <c r="B13" s="6">
        <f>IF('Data Sheet'!B93&gt;0,B12/'Data Sheet'!B93,0)</f>
        <v>25.345596522299147</v>
      </c>
      <c r="C13" s="6">
        <f>IF('Data Sheet'!C93&gt;0,C12/'Data Sheet'!C93,0)</f>
        <v>29.770085332474643</v>
      </c>
      <c r="D13" s="6">
        <f>IF('Data Sheet'!D93&gt;0,D12/'Data Sheet'!D93,0)</f>
        <v>60.411759974259979</v>
      </c>
      <c r="E13" s="6">
        <f>IF('Data Sheet'!E93&gt;0,E12/'Data Sheet'!E93,0)</f>
        <v>42.756274131274132</v>
      </c>
      <c r="F13" s="6">
        <f>IF('Data Sheet'!F93&gt;0,F12/'Data Sheet'!F93,0)</f>
        <v>1.0218790218790219</v>
      </c>
      <c r="G13" s="6">
        <f>IF('Data Sheet'!G93&gt;0,G12/'Data Sheet'!G93,0)</f>
        <v>14.579231016731018</v>
      </c>
      <c r="H13" s="6">
        <f>IF('Data Sheet'!H93&gt;0,H12/'Data Sheet'!H93,0)</f>
        <v>52.906370656370655</v>
      </c>
      <c r="I13" s="6">
        <f>IF('Data Sheet'!I93&gt;0,I12/'Data Sheet'!I93,0)</f>
        <v>82.681946119823081</v>
      </c>
      <c r="J13" s="6">
        <f>IF('Data Sheet'!J93&gt;0,J12/'Data Sheet'!J93,0)</f>
        <v>90.620345798150382</v>
      </c>
      <c r="K13" s="6">
        <f>IF('Data Sheet'!K93&gt;0,K12/'Data Sheet'!K93,0)</f>
        <v>103.97346200241255</v>
      </c>
      <c r="L13" s="6">
        <f>IF('Data Sheet'!$B6&gt;0,'Profit &amp; Loss'!L12/'Data Sheet'!$B6,0)</f>
        <v>110.40381400017847</v>
      </c>
      <c r="M13" s="6">
        <f>IF('Data Sheet'!$B6&gt;0,'Profit &amp; Loss'!M12/'Data Sheet'!$B6,0)</f>
        <v>121.65686821986583</v>
      </c>
      <c r="N13" s="6">
        <f>IF('Data Sheet'!$B6&gt;0,'Profit &amp; Loss'!N12/'Data Sheet'!$B6,0)</f>
        <v>69.510371868650353</v>
      </c>
    </row>
    <row r="14" spans="1:14" x14ac:dyDescent="0.3">
      <c r="A14" t="s">
        <v>16</v>
      </c>
      <c r="B14" s="6">
        <f>IF(B15&gt;0,B15/B13,"")</f>
        <v>23.883833212108893</v>
      </c>
      <c r="C14" s="6">
        <f t="shared" ref="C14:K14" si="2">IF(C15&gt;0,C15/C13,"")</f>
        <v>21.613979026727673</v>
      </c>
      <c r="D14" s="6">
        <f t="shared" si="2"/>
        <v>12.231062301691388</v>
      </c>
      <c r="E14" s="6">
        <f t="shared" si="2"/>
        <v>15.761429490580307</v>
      </c>
      <c r="F14" s="6">
        <f t="shared" si="2"/>
        <v>278.8490554156171</v>
      </c>
      <c r="G14" s="6">
        <f t="shared" si="2"/>
        <v>54.546772671849219</v>
      </c>
      <c r="H14" s="6">
        <f t="shared" si="2"/>
        <v>15.24485595957016</v>
      </c>
      <c r="I14" s="6">
        <f t="shared" si="2"/>
        <v>14.013942031804698</v>
      </c>
      <c r="J14" s="6">
        <f t="shared" si="2"/>
        <v>21.202192323119736</v>
      </c>
      <c r="K14" s="6">
        <f t="shared" si="2"/>
        <v>25.639234749518529</v>
      </c>
      <c r="L14" s="6">
        <f t="shared" ref="L14" si="3">IF(L13&gt;0,L15/L13,0)</f>
        <v>32.710373574541201</v>
      </c>
      <c r="M14" s="6">
        <f>M25</f>
        <v>32.710373574541201</v>
      </c>
      <c r="N14" s="6">
        <f>N25</f>
        <v>23.391435669746041</v>
      </c>
    </row>
    <row r="15" spans="1:14" s="2" customFormat="1" x14ac:dyDescent="0.3">
      <c r="A15" s="2" t="s">
        <v>49</v>
      </c>
      <c r="B15" s="1">
        <f>'Data Sheet'!B90</f>
        <v>605.35</v>
      </c>
      <c r="C15" s="1">
        <f>'Data Sheet'!C90</f>
        <v>643.45000000000005</v>
      </c>
      <c r="D15" s="1">
        <f>'Data Sheet'!D90</f>
        <v>738.9</v>
      </c>
      <c r="E15" s="1">
        <f>'Data Sheet'!E90</f>
        <v>673.9</v>
      </c>
      <c r="F15" s="1">
        <f>'Data Sheet'!F90</f>
        <v>284.95</v>
      </c>
      <c r="G15" s="1">
        <f>'Data Sheet'!G90</f>
        <v>795.25</v>
      </c>
      <c r="H15" s="1">
        <f>'Data Sheet'!H90</f>
        <v>806.55</v>
      </c>
      <c r="I15" s="1">
        <f>'Data Sheet'!I90</f>
        <v>1158.7</v>
      </c>
      <c r="J15" s="1">
        <f>'Data Sheet'!J90</f>
        <v>1921.35</v>
      </c>
      <c r="K15" s="1">
        <f>'Data Sheet'!K90</f>
        <v>2665.8</v>
      </c>
      <c r="L15" s="1">
        <f>'Data Sheet'!B8</f>
        <v>3611.35</v>
      </c>
      <c r="M15" s="8">
        <f>M13*M14</f>
        <v>3979.4416073805405</v>
      </c>
      <c r="N15" s="9">
        <f>N13*N14</f>
        <v>1625.9473919456595</v>
      </c>
    </row>
    <row r="17" spans="1:14" s="2" customFormat="1" x14ac:dyDescent="0.3">
      <c r="A17" s="2" t="s">
        <v>15</v>
      </c>
    </row>
    <row r="18" spans="1:14" x14ac:dyDescent="0.3">
      <c r="A18" t="s">
        <v>17</v>
      </c>
      <c r="B18" s="5">
        <f>IF('Data Sheet'!B30&gt;0, 'Data Sheet'!B31/'Data Sheet'!B30, 0)</f>
        <v>0.20612178133228309</v>
      </c>
      <c r="C18" s="5">
        <f>IF('Data Sheet'!C30&gt;0, 'Data Sheet'!C31/'Data Sheet'!C30, 0)</f>
        <v>0.2183399855058355</v>
      </c>
      <c r="D18" s="5">
        <f>IF('Data Sheet'!D30&gt;0, 'Data Sheet'!D31/'Data Sheet'!D30, 0)</f>
        <v>0.10847639070674094</v>
      </c>
      <c r="E18" s="5">
        <f>IF('Data Sheet'!E30&gt;0, 'Data Sheet'!E31/'Data Sheet'!E30, 0)</f>
        <v>0.17396989159922188</v>
      </c>
      <c r="F18" s="5">
        <f>IF('Data Sheet'!F30&gt;0, 'Data Sheet'!F31/'Data Sheet'!F30, 0)</f>
        <v>2.0506139798488663</v>
      </c>
      <c r="G18" s="5">
        <f>IF('Data Sheet'!G30&gt;0, 'Data Sheet'!G31/'Data Sheet'!G30, 0)</f>
        <v>0.53600847452951461</v>
      </c>
      <c r="H18" s="5">
        <f>IF('Data Sheet'!H30&gt;0, 'Data Sheet'!H31/'Data Sheet'!H30, 0)</f>
        <v>0.1952923075051845</v>
      </c>
      <c r="I18" s="5">
        <f>IF('Data Sheet'!I30&gt;0, 'Data Sheet'!I31/'Data Sheet'!I30, 0)</f>
        <v>0.17601128240042796</v>
      </c>
      <c r="J18" s="5">
        <f>IF('Data Sheet'!J30&gt;0, 'Data Sheet'!J31/'Data Sheet'!J30, 0)</f>
        <v>0.2087332632864303</v>
      </c>
      <c r="K18" s="5">
        <f>IF('Data Sheet'!K30&gt;0, 'Data Sheet'!K31/'Data Sheet'!K30, 0)</f>
        <v>0.21844057204291092</v>
      </c>
    </row>
    <row r="19" spans="1:14" x14ac:dyDescent="0.3">
      <c r="A19" t="s">
        <v>18</v>
      </c>
      <c r="B19" s="5">
        <f t="shared" ref="B19:L19" si="4">IF(B6&gt;0,B6/B4,0)</f>
        <v>0.1329410762614939</v>
      </c>
      <c r="C19" s="5">
        <f t="shared" ref="C19:K19" si="5">IF(C6&gt;0,C6/C4,0)</f>
        <v>0.12814180694149255</v>
      </c>
      <c r="D19" s="5">
        <f t="shared" si="5"/>
        <v>0.143615297204648</v>
      </c>
      <c r="E19" s="5">
        <f t="shared" si="5"/>
        <v>0.14521019153045986</v>
      </c>
      <c r="F19" s="5">
        <f t="shared" si="5"/>
        <v>0.13475046340681363</v>
      </c>
      <c r="G19" s="5">
        <f t="shared" si="5"/>
        <v>0.15464947929246142</v>
      </c>
      <c r="H19" s="5">
        <f t="shared" si="5"/>
        <v>0.16283417083866741</v>
      </c>
      <c r="I19" s="5">
        <f t="shared" si="5"/>
        <v>0.16727576935652336</v>
      </c>
      <c r="J19" s="5">
        <f t="shared" si="5"/>
        <v>0.17897785182401243</v>
      </c>
      <c r="K19" s="5">
        <f t="shared" si="5"/>
        <v>0.19168414558759261</v>
      </c>
      <c r="L19" s="5">
        <f t="shared" si="4"/>
        <v>0.18805181089632905</v>
      </c>
    </row>
    <row r="20" spans="1:14" x14ac:dyDescent="0.3">
      <c r="B20" s="5"/>
      <c r="C20" s="5"/>
      <c r="D20" s="5"/>
      <c r="E20" s="5"/>
      <c r="F20" s="5"/>
      <c r="G20" s="5"/>
      <c r="H20" s="5"/>
      <c r="I20" s="5"/>
      <c r="J20" s="5"/>
      <c r="K20" s="5"/>
      <c r="L20" s="5"/>
    </row>
    <row r="21" spans="1:14" x14ac:dyDescent="0.3">
      <c r="B21" s="5"/>
      <c r="C21" s="5"/>
      <c r="D21" s="5"/>
      <c r="E21" s="5"/>
      <c r="F21" s="5"/>
      <c r="G21" s="5"/>
      <c r="H21" s="5"/>
      <c r="I21" s="5"/>
      <c r="J21" s="5"/>
      <c r="K21" s="5"/>
      <c r="L21" s="5"/>
    </row>
    <row r="22" spans="1:14" s="2" customFormat="1" x14ac:dyDescent="0.3">
      <c r="A22" s="11"/>
      <c r="B22" s="12"/>
      <c r="C22" s="12"/>
      <c r="D22" s="12"/>
      <c r="E22" s="12"/>
      <c r="F22" s="12"/>
      <c r="G22" s="12" t="s">
        <v>19</v>
      </c>
      <c r="H22" s="12" t="s">
        <v>56</v>
      </c>
      <c r="I22" s="12" t="s">
        <v>57</v>
      </c>
      <c r="J22" s="12" t="s">
        <v>58</v>
      </c>
      <c r="K22" s="12" t="s">
        <v>59</v>
      </c>
      <c r="L22" s="13" t="s">
        <v>60</v>
      </c>
      <c r="M22" s="13" t="s">
        <v>20</v>
      </c>
      <c r="N22" s="13" t="s">
        <v>21</v>
      </c>
    </row>
    <row r="23" spans="1:14" s="2" customFormat="1" x14ac:dyDescent="0.3">
      <c r="A23"/>
      <c r="B23"/>
      <c r="C23"/>
      <c r="D23"/>
      <c r="E23"/>
      <c r="F23"/>
      <c r="G23" t="s">
        <v>22</v>
      </c>
      <c r="H23" s="5">
        <f>IF(B4=0,"",POWER($K4/B4,1/9)-1)</f>
        <v>8.588822750317493E-2</v>
      </c>
      <c r="I23" s="5">
        <f>IF(D4=0,"",POWER($K4/D4,1/7)-1)</f>
        <v>8.1341991942898151E-2</v>
      </c>
      <c r="J23" s="5">
        <f>IF(F4=0,"",POWER($K4/F4,1/5)-1)</f>
        <v>0.16129101353708974</v>
      </c>
      <c r="K23" s="5">
        <f>IF(H4=0,"",POWER($K4/H4, 1/3)-1)</f>
        <v>0.20865565417067744</v>
      </c>
      <c r="L23" s="5">
        <f>IF(ISERROR(MAX(IF(J4=0,"",(K4-J4)/J4),IF(K4=0,"",(L4-K4)/K4))),"",MAX(IF(J4=0,"",(K4-J4)/J4),IF(K4=0,"",(L4-K4)/K4)))</f>
        <v>0.14475697749188293</v>
      </c>
      <c r="M23" s="16">
        <f>MAX(K23:L23)</f>
        <v>0.20865565417067744</v>
      </c>
      <c r="N23" s="16">
        <f>MIN(H23:L23)</f>
        <v>8.1341991942898151E-2</v>
      </c>
    </row>
    <row r="24" spans="1:14" x14ac:dyDescent="0.3">
      <c r="G24" t="s">
        <v>18</v>
      </c>
      <c r="H24" s="5">
        <f>IF(SUM(B4:$K$4)=0,"",SUMPRODUCT(B19:$K$19,B4:$K$4)/SUM(B4:$K$4))</f>
        <v>0.15876177187895513</v>
      </c>
      <c r="I24" s="5">
        <f>IF(SUM(E4:$K$4)=0,"",SUMPRODUCT(E19:$K$19,E4:$K$4)/SUM(E4:$K$4))</f>
        <v>0.16650714309458112</v>
      </c>
      <c r="J24" s="5">
        <f>IF(SUM(G4:$K$4)=0,"",SUMPRODUCT(G19:$K$19,G4:$K$4)/SUM(G4:$K$4))</f>
        <v>0.17442506026350868</v>
      </c>
      <c r="K24" s="5">
        <f>IF(SUM(I4:$K$4)=0, "", SUMPRODUCT(I19:$K$19,I4:$K$4)/SUM(I4:$K$4))</f>
        <v>0.18041718892307626</v>
      </c>
      <c r="L24" s="5">
        <f>L19</f>
        <v>0.18805181089632905</v>
      </c>
      <c r="M24" s="16">
        <f>MAX(K24:L24)</f>
        <v>0.18805181089632905</v>
      </c>
      <c r="N24" s="16">
        <f>MIN(H24:L24)</f>
        <v>0.15876177187895513</v>
      </c>
    </row>
    <row r="25" spans="1:14" x14ac:dyDescent="0.3">
      <c r="G25" t="s">
        <v>23</v>
      </c>
      <c r="H25" s="6">
        <f>IF(ISERROR(AVERAGEIF(B14:$L14,"&gt;0")),"",AVERAGEIF(B14:$L14,"&gt;0"))</f>
        <v>46.881520977920808</v>
      </c>
      <c r="I25" s="6">
        <f>IF(ISERROR(AVERAGEIF(E14:$L14,"&gt;0")),"",AVERAGEIF(E14:$L14,"&gt;0"))</f>
        <v>57.245982027075122</v>
      </c>
      <c r="J25" s="6">
        <f>IF(ISERROR(AVERAGEIF(G14:$L14,"&gt;0")),"",AVERAGEIF(G14:$L14,"&gt;0"))</f>
        <v>27.226228551733922</v>
      </c>
      <c r="K25" s="6">
        <f>IF(ISERROR(AVERAGEIF(I14:$L14,"&gt;0")),"",AVERAGEIF(I14:$L14,"&gt;0"))</f>
        <v>23.391435669746041</v>
      </c>
      <c r="L25" s="6">
        <f>L14</f>
        <v>32.710373574541201</v>
      </c>
      <c r="M25" s="1">
        <f>MAX(K25:L25)</f>
        <v>32.710373574541201</v>
      </c>
      <c r="N25" s="1">
        <f>MIN(H25:L25)</f>
        <v>23.391435669746041</v>
      </c>
    </row>
  </sheetData>
  <hyperlinks>
    <hyperlink ref="M1" r:id="rId1" xr:uid="{00000000-0004-0000-0000-000000000000}"/>
  </hyperlinks>
  <printOptions gridLines="1"/>
  <pageMargins left="0.7" right="0.7" top="0.75" bottom="0.75" header="0.3" footer="0.3"/>
  <pageSetup paperSize="9" orientation="landscape" horizontalDpi="300" verticalDpi="3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22"/>
  <sheetViews>
    <sheetView zoomScale="150" workbookViewId="0">
      <pane xSplit="1" ySplit="3" topLeftCell="D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0.6640625" customWidth="1"/>
    <col min="2" max="11" width="13.44140625" bestFit="1" customWidth="1"/>
  </cols>
  <sheetData>
    <row r="1" spans="1:11" s="2" customFormat="1" x14ac:dyDescent="0.3">
      <c r="A1" s="2" t="str">
        <f>'Profit &amp; Loss'!A1</f>
        <v>MAHINDRA &amp; MAHINDRA LTD</v>
      </c>
      <c r="E1" t="str">
        <f>UPDATE</f>
        <v/>
      </c>
      <c r="J1" s="2" t="s">
        <v>1</v>
      </c>
    </row>
    <row r="3" spans="1:11" s="2" customFormat="1" x14ac:dyDescent="0.3">
      <c r="A3" s="11" t="s">
        <v>2</v>
      </c>
      <c r="B3" s="12">
        <f>'Data Sheet'!B41</f>
        <v>45016</v>
      </c>
      <c r="C3" s="12">
        <f>'Data Sheet'!C41</f>
        <v>45107</v>
      </c>
      <c r="D3" s="12">
        <f>'Data Sheet'!D41</f>
        <v>45199</v>
      </c>
      <c r="E3" s="12">
        <f>'Data Sheet'!E41</f>
        <v>45291</v>
      </c>
      <c r="F3" s="12">
        <f>'Data Sheet'!F41</f>
        <v>45382</v>
      </c>
      <c r="G3" s="12">
        <f>'Data Sheet'!G41</f>
        <v>45473</v>
      </c>
      <c r="H3" s="12">
        <f>'Data Sheet'!H41</f>
        <v>45565</v>
      </c>
      <c r="I3" s="12">
        <f>'Data Sheet'!I41</f>
        <v>45657</v>
      </c>
      <c r="J3" s="12">
        <f>'Data Sheet'!J41</f>
        <v>45747</v>
      </c>
      <c r="K3" s="12">
        <f>'Data Sheet'!K41</f>
        <v>45838</v>
      </c>
    </row>
    <row r="4" spans="1:11" s="2" customFormat="1" x14ac:dyDescent="0.3">
      <c r="A4" s="2" t="s">
        <v>6</v>
      </c>
      <c r="B4" s="1">
        <f>'Data Sheet'!B42</f>
        <v>32455.65</v>
      </c>
      <c r="C4" s="1">
        <f>'Data Sheet'!C42</f>
        <v>33891.629999999997</v>
      </c>
      <c r="D4" s="1">
        <f>'Data Sheet'!D42</f>
        <v>34435.519999999997</v>
      </c>
      <c r="E4" s="1">
        <f>'Data Sheet'!E42</f>
        <v>35299.39</v>
      </c>
      <c r="F4" s="1">
        <f>'Data Sheet'!F42</f>
        <v>35451.730000000003</v>
      </c>
      <c r="G4" s="1">
        <f>'Data Sheet'!G42</f>
        <v>37217.72</v>
      </c>
      <c r="H4" s="1">
        <f>'Data Sheet'!H42</f>
        <v>37923.74</v>
      </c>
      <c r="I4" s="1">
        <f>'Data Sheet'!I42</f>
        <v>41470.050000000003</v>
      </c>
      <c r="J4" s="1">
        <f>'Data Sheet'!J42</f>
        <v>42599.31</v>
      </c>
      <c r="K4" s="1">
        <f>'Data Sheet'!K42</f>
        <v>45529.19</v>
      </c>
    </row>
    <row r="5" spans="1:11" x14ac:dyDescent="0.3">
      <c r="A5" t="s">
        <v>7</v>
      </c>
      <c r="B5" s="6">
        <f>'Data Sheet'!B43</f>
        <v>26797.919999999998</v>
      </c>
      <c r="C5" s="6">
        <f>'Data Sheet'!C43</f>
        <v>27642.400000000001</v>
      </c>
      <c r="D5" s="6">
        <f>'Data Sheet'!D43</f>
        <v>28705.94</v>
      </c>
      <c r="E5" s="6">
        <f>'Data Sheet'!E43</f>
        <v>29075.41</v>
      </c>
      <c r="F5" s="6">
        <f>'Data Sheet'!F43</f>
        <v>28847.82</v>
      </c>
      <c r="G5" s="6">
        <f>'Data Sheet'!G43</f>
        <v>29974.6</v>
      </c>
      <c r="H5" s="6">
        <f>'Data Sheet'!H43</f>
        <v>30790.34</v>
      </c>
      <c r="I5" s="6">
        <f>'Data Sheet'!I43</f>
        <v>33239.32</v>
      </c>
      <c r="J5" s="6">
        <f>'Data Sheet'!J43</f>
        <v>34688.370000000003</v>
      </c>
      <c r="K5" s="6">
        <f>'Data Sheet'!K43</f>
        <v>37301.39</v>
      </c>
    </row>
    <row r="6" spans="1:11" s="2" customFormat="1" x14ac:dyDescent="0.3">
      <c r="A6" s="2" t="s">
        <v>8</v>
      </c>
      <c r="B6" s="1">
        <f>'Data Sheet'!B50</f>
        <v>5657.73</v>
      </c>
      <c r="C6" s="1">
        <f>'Data Sheet'!C50</f>
        <v>6249.23</v>
      </c>
      <c r="D6" s="1">
        <f>'Data Sheet'!D50</f>
        <v>5729.58</v>
      </c>
      <c r="E6" s="1">
        <f>'Data Sheet'!E50</f>
        <v>6223.98</v>
      </c>
      <c r="F6" s="1">
        <f>'Data Sheet'!F50</f>
        <v>6603.91</v>
      </c>
      <c r="G6" s="1">
        <f>'Data Sheet'!G50</f>
        <v>7243.12</v>
      </c>
      <c r="H6" s="1">
        <f>'Data Sheet'!H50</f>
        <v>7133.4</v>
      </c>
      <c r="I6" s="1">
        <f>'Data Sheet'!I50</f>
        <v>8230.73</v>
      </c>
      <c r="J6" s="1">
        <f>'Data Sheet'!J50</f>
        <v>7910.94</v>
      </c>
      <c r="K6" s="1">
        <f>'Data Sheet'!K50</f>
        <v>8227.7999999999993</v>
      </c>
    </row>
    <row r="7" spans="1:11" x14ac:dyDescent="0.3">
      <c r="A7" t="s">
        <v>9</v>
      </c>
      <c r="B7" s="6">
        <f>'Data Sheet'!B44</f>
        <v>661.74</v>
      </c>
      <c r="C7" s="6">
        <f>'Data Sheet'!C44</f>
        <v>1065</v>
      </c>
      <c r="D7" s="6">
        <f>'Data Sheet'!D44</f>
        <v>811.95</v>
      </c>
      <c r="E7" s="6">
        <f>'Data Sheet'!E44</f>
        <v>755.69</v>
      </c>
      <c r="F7" s="6">
        <f>'Data Sheet'!F44</f>
        <v>750.44</v>
      </c>
      <c r="G7" s="6">
        <f>'Data Sheet'!G44</f>
        <v>733.21</v>
      </c>
      <c r="H7" s="6">
        <f>'Data Sheet'!H44</f>
        <v>1125.57</v>
      </c>
      <c r="I7" s="6">
        <f>'Data Sheet'!I44</f>
        <v>718.59</v>
      </c>
      <c r="J7" s="6">
        <f>'Data Sheet'!J44</f>
        <v>1141.0999999999999</v>
      </c>
      <c r="K7" s="6">
        <f>'Data Sheet'!K44</f>
        <v>1395.06</v>
      </c>
    </row>
    <row r="8" spans="1:11" x14ac:dyDescent="0.3">
      <c r="A8" t="s">
        <v>10</v>
      </c>
      <c r="B8" s="6">
        <f>'Data Sheet'!B45</f>
        <v>1194.4000000000001</v>
      </c>
      <c r="C8" s="6">
        <f>'Data Sheet'!C45</f>
        <v>1127.5</v>
      </c>
      <c r="D8" s="6">
        <f>'Data Sheet'!D45</f>
        <v>1138.6400000000001</v>
      </c>
      <c r="E8" s="6">
        <f>'Data Sheet'!E45</f>
        <v>1122.5899999999999</v>
      </c>
      <c r="F8" s="6">
        <f>'Data Sheet'!F45</f>
        <v>1335.05</v>
      </c>
      <c r="G8" s="6">
        <f>'Data Sheet'!G45</f>
        <v>1247.77</v>
      </c>
      <c r="H8" s="6">
        <f>'Data Sheet'!H45</f>
        <v>1301.99</v>
      </c>
      <c r="I8" s="6">
        <f>'Data Sheet'!I45</f>
        <v>1495.17</v>
      </c>
      <c r="J8" s="6">
        <f>'Data Sheet'!J45</f>
        <v>2028.72</v>
      </c>
      <c r="K8" s="6">
        <f>'Data Sheet'!K45</f>
        <v>1547.56</v>
      </c>
    </row>
    <row r="9" spans="1:11" x14ac:dyDescent="0.3">
      <c r="A9" t="s">
        <v>11</v>
      </c>
      <c r="B9" s="6">
        <f>'Data Sheet'!B46</f>
        <v>1633.56</v>
      </c>
      <c r="C9" s="6">
        <f>'Data Sheet'!C46</f>
        <v>1718.84</v>
      </c>
      <c r="D9" s="6">
        <f>'Data Sheet'!D46</f>
        <v>1835.19</v>
      </c>
      <c r="E9" s="6">
        <f>'Data Sheet'!E46</f>
        <v>1944.88</v>
      </c>
      <c r="F9" s="6">
        <f>'Data Sheet'!F46</f>
        <v>1989.3</v>
      </c>
      <c r="G9" s="6">
        <f>'Data Sheet'!G46</f>
        <v>2107.69</v>
      </c>
      <c r="H9" s="6">
        <f>'Data Sheet'!H46</f>
        <v>2217.02</v>
      </c>
      <c r="I9" s="6">
        <f>'Data Sheet'!I46</f>
        <v>2362.16</v>
      </c>
      <c r="J9" s="6">
        <f>'Data Sheet'!J46</f>
        <v>2396.52</v>
      </c>
      <c r="K9" s="6">
        <f>'Data Sheet'!K46</f>
        <v>2431.19</v>
      </c>
    </row>
    <row r="10" spans="1:11" x14ac:dyDescent="0.3">
      <c r="A10" t="s">
        <v>12</v>
      </c>
      <c r="B10" s="6">
        <f>'Data Sheet'!B47</f>
        <v>3491.51</v>
      </c>
      <c r="C10" s="6">
        <f>'Data Sheet'!C47</f>
        <v>4467.8900000000003</v>
      </c>
      <c r="D10" s="6">
        <f>'Data Sheet'!D47</f>
        <v>3567.7</v>
      </c>
      <c r="E10" s="6">
        <f>'Data Sheet'!E47</f>
        <v>3912.2</v>
      </c>
      <c r="F10" s="6">
        <f>'Data Sheet'!F47</f>
        <v>4030</v>
      </c>
      <c r="G10" s="6">
        <f>'Data Sheet'!G47</f>
        <v>4620.87</v>
      </c>
      <c r="H10" s="6">
        <f>'Data Sheet'!H47</f>
        <v>4739.96</v>
      </c>
      <c r="I10" s="6">
        <f>'Data Sheet'!I47</f>
        <v>5091.99</v>
      </c>
      <c r="J10" s="6">
        <f>'Data Sheet'!J47</f>
        <v>4626.8</v>
      </c>
      <c r="K10" s="6">
        <f>'Data Sheet'!K47</f>
        <v>5644.11</v>
      </c>
    </row>
    <row r="11" spans="1:11" x14ac:dyDescent="0.3">
      <c r="A11" t="s">
        <v>13</v>
      </c>
      <c r="B11" s="6">
        <f>'Data Sheet'!B48</f>
        <v>493.14</v>
      </c>
      <c r="C11" s="6">
        <f>'Data Sheet'!C48</f>
        <v>784.02</v>
      </c>
      <c r="D11" s="6">
        <f>'Data Sheet'!D48</f>
        <v>1083.73</v>
      </c>
      <c r="E11" s="6">
        <f>'Data Sheet'!E48</f>
        <v>935.16</v>
      </c>
      <c r="F11" s="6">
        <f>'Data Sheet'!F48</f>
        <v>905.06</v>
      </c>
      <c r="G11" s="6">
        <f>'Data Sheet'!G48</f>
        <v>1075.0899999999999</v>
      </c>
      <c r="H11" s="6">
        <f>'Data Sheet'!H48</f>
        <v>1378.9</v>
      </c>
      <c r="I11" s="6">
        <f>'Data Sheet'!I48</f>
        <v>1467.51</v>
      </c>
      <c r="J11" s="6">
        <f>'Data Sheet'!J48</f>
        <v>1084.95</v>
      </c>
      <c r="K11" s="6">
        <f>'Data Sheet'!K48</f>
        <v>1267.53</v>
      </c>
    </row>
    <row r="12" spans="1:11" s="2" customFormat="1" x14ac:dyDescent="0.3">
      <c r="A12" s="2" t="s">
        <v>14</v>
      </c>
      <c r="B12" s="1">
        <f>'Data Sheet'!B49</f>
        <v>2636.67</v>
      </c>
      <c r="C12" s="1">
        <f>'Data Sheet'!C49</f>
        <v>3508.41</v>
      </c>
      <c r="D12" s="1">
        <f>'Data Sheet'!D49</f>
        <v>2347.75</v>
      </c>
      <c r="E12" s="1">
        <f>'Data Sheet'!E49</f>
        <v>2658.4</v>
      </c>
      <c r="F12" s="1">
        <f>'Data Sheet'!F49</f>
        <v>2754.08</v>
      </c>
      <c r="G12" s="1">
        <f>'Data Sheet'!G49</f>
        <v>3282.63</v>
      </c>
      <c r="H12" s="1">
        <f>'Data Sheet'!H49</f>
        <v>3170.72</v>
      </c>
      <c r="I12" s="1">
        <f>'Data Sheet'!I49</f>
        <v>3180.58</v>
      </c>
      <c r="J12" s="1">
        <f>'Data Sheet'!J49</f>
        <v>3295.17</v>
      </c>
      <c r="K12" s="1">
        <f>'Data Sheet'!K49</f>
        <v>4083.32</v>
      </c>
    </row>
    <row r="14" spans="1:11" s="2" customFormat="1" x14ac:dyDescent="0.3">
      <c r="A14" s="2" t="s">
        <v>18</v>
      </c>
      <c r="B14" s="10">
        <f>IF(B4&gt;0,B6/B4,"")</f>
        <v>0.17432188232249238</v>
      </c>
      <c r="C14" s="10">
        <f t="shared" ref="C14:K14" si="0">IF(C4&gt;0,C6/C4,"")</f>
        <v>0.18438859387996387</v>
      </c>
      <c r="D14" s="10">
        <f t="shared" si="0"/>
        <v>0.16638575517372761</v>
      </c>
      <c r="E14" s="10">
        <f t="shared" si="0"/>
        <v>0.17631976076640418</v>
      </c>
      <c r="F14" s="10">
        <f t="shared" si="0"/>
        <v>0.18627892066198179</v>
      </c>
      <c r="G14" s="10">
        <f t="shared" si="0"/>
        <v>0.19461482326160764</v>
      </c>
      <c r="H14" s="10">
        <f t="shared" si="0"/>
        <v>0.18809853669495677</v>
      </c>
      <c r="I14" s="10">
        <f t="shared" si="0"/>
        <v>0.19847407948627982</v>
      </c>
      <c r="J14" s="10">
        <f t="shared" si="0"/>
        <v>0.18570582481265541</v>
      </c>
      <c r="K14" s="10">
        <f t="shared" si="0"/>
        <v>0.18071483371437091</v>
      </c>
    </row>
    <row r="22" s="19" customFormat="1" x14ac:dyDescent="0.3"/>
  </sheetData>
  <hyperlinks>
    <hyperlink ref="J1" r:id="rId1" xr:uid="{00000000-0004-0000-0100-000000000000}"/>
  </hyperlinks>
  <printOptions gridLines="1"/>
  <pageMargins left="0.7" right="0.7" top="0.75" bottom="0.75" header="0.3" footer="0.3"/>
  <pageSetup paperSize="9" scale="83" orientation="landscape" horizontalDpi="300" verticalDpi="30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4"/>
  <sheetViews>
    <sheetView zoomScale="125" workbookViewId="0">
      <pane xSplit="1" ySplit="3" topLeftCell="D4" activePane="bottomRight" state="frozen"/>
      <selection activeCell="C4" sqref="C4"/>
      <selection pane="topRight" activeCell="C4" sqref="C4"/>
      <selection pane="bottomLeft" activeCell="C4" sqref="C4"/>
      <selection pane="bottomRight" activeCell="E14" sqref="E14"/>
    </sheetView>
  </sheetViews>
  <sheetFormatPr defaultColWidth="8.77734375" defaultRowHeight="14.4" x14ac:dyDescent="0.3"/>
  <cols>
    <col min="1" max="1" width="22.77734375" bestFit="1" customWidth="1"/>
    <col min="2" max="2" width="13.44140625" customWidth="1"/>
    <col min="3" max="11" width="15.44140625" customWidth="1"/>
  </cols>
  <sheetData>
    <row r="1" spans="1:11" s="2" customFormat="1" x14ac:dyDescent="0.3">
      <c r="A1" s="2" t="str">
        <f>'Profit &amp; Loss'!A1</f>
        <v>MAHINDRA &amp; MAHINDRA LTD</v>
      </c>
      <c r="E1" t="str">
        <f>UPDATE</f>
        <v/>
      </c>
      <c r="G1"/>
      <c r="J1" s="2" t="s">
        <v>1</v>
      </c>
    </row>
    <row r="2" spans="1:11" x14ac:dyDescent="0.3">
      <c r="G2" s="2"/>
      <c r="H2" s="2"/>
    </row>
    <row r="3" spans="1:11" x14ac:dyDescent="0.3">
      <c r="A3" s="11" t="s">
        <v>2</v>
      </c>
      <c r="B3" s="12">
        <f>'Data Sheet'!B56</f>
        <v>42460</v>
      </c>
      <c r="C3" s="12">
        <f>'Data Sheet'!C56</f>
        <v>42825</v>
      </c>
      <c r="D3" s="12">
        <f>'Data Sheet'!D56</f>
        <v>43190</v>
      </c>
      <c r="E3" s="12">
        <f>'Data Sheet'!E56</f>
        <v>43555</v>
      </c>
      <c r="F3" s="12">
        <f>'Data Sheet'!F56</f>
        <v>43921</v>
      </c>
      <c r="G3" s="12">
        <f>'Data Sheet'!G56</f>
        <v>44286</v>
      </c>
      <c r="H3" s="12">
        <f>'Data Sheet'!H56</f>
        <v>44651</v>
      </c>
      <c r="I3" s="12">
        <f>'Data Sheet'!I56</f>
        <v>45016</v>
      </c>
      <c r="J3" s="12">
        <f>'Data Sheet'!J56</f>
        <v>45382</v>
      </c>
      <c r="K3" s="12">
        <f>'Data Sheet'!K56</f>
        <v>45747</v>
      </c>
    </row>
    <row r="4" spans="1:11" x14ac:dyDescent="0.3">
      <c r="A4" t="s">
        <v>24</v>
      </c>
      <c r="B4" s="14">
        <f>'Data Sheet'!B57</f>
        <v>270.39999999999998</v>
      </c>
      <c r="C4" s="14">
        <f>'Data Sheet'!C57</f>
        <v>310.55</v>
      </c>
      <c r="D4" s="14">
        <f>'Data Sheet'!D57</f>
        <v>543.13</v>
      </c>
      <c r="E4" s="14">
        <f>'Data Sheet'!E57</f>
        <v>543.96</v>
      </c>
      <c r="F4" s="14">
        <f>'Data Sheet'!F57</f>
        <v>554.28</v>
      </c>
      <c r="G4" s="14">
        <f>'Data Sheet'!G57</f>
        <v>555.15</v>
      </c>
      <c r="H4" s="14">
        <f>'Data Sheet'!H57</f>
        <v>556.05999999999995</v>
      </c>
      <c r="I4" s="14">
        <f>'Data Sheet'!I57</f>
        <v>556.82000000000005</v>
      </c>
      <c r="J4" s="14">
        <f>'Data Sheet'!J57</f>
        <v>557.38</v>
      </c>
      <c r="K4" s="14">
        <f>'Data Sheet'!K57</f>
        <v>558.15</v>
      </c>
    </row>
    <row r="5" spans="1:11" x14ac:dyDescent="0.3">
      <c r="A5" t="s">
        <v>25</v>
      </c>
      <c r="B5" s="14">
        <f>'Data Sheet'!B58</f>
        <v>26222.25</v>
      </c>
      <c r="C5" s="14">
        <f>'Data Sheet'!C58</f>
        <v>29467.1</v>
      </c>
      <c r="D5" s="14">
        <f>'Data Sheet'!D58</f>
        <v>36232.06</v>
      </c>
      <c r="E5" s="14">
        <f>'Data Sheet'!E58</f>
        <v>39439.449999999997</v>
      </c>
      <c r="F5" s="14">
        <f>'Data Sheet'!F58</f>
        <v>39415.03</v>
      </c>
      <c r="G5" s="14">
        <f>'Data Sheet'!G58</f>
        <v>41026.769999999997</v>
      </c>
      <c r="H5" s="14">
        <f>'Data Sheet'!H58</f>
        <v>46566.58</v>
      </c>
      <c r="I5" s="14">
        <f>'Data Sheet'!I58</f>
        <v>55808.97</v>
      </c>
      <c r="J5" s="14">
        <f>'Data Sheet'!J58</f>
        <v>65633.17</v>
      </c>
      <c r="K5" s="14">
        <f>'Data Sheet'!K58</f>
        <v>76480.710000000006</v>
      </c>
    </row>
    <row r="6" spans="1:11" x14ac:dyDescent="0.3">
      <c r="A6" t="s">
        <v>62</v>
      </c>
      <c r="B6" s="14">
        <f>'Data Sheet'!B59</f>
        <v>41552.93</v>
      </c>
      <c r="C6" s="14">
        <f>'Data Sheet'!C59</f>
        <v>48761.91</v>
      </c>
      <c r="D6" s="14">
        <f>'Data Sheet'!D59</f>
        <v>55897.919999999998</v>
      </c>
      <c r="E6" s="14">
        <f>'Data Sheet'!E59</f>
        <v>70848.3</v>
      </c>
      <c r="F6" s="14">
        <f>'Data Sheet'!F59</f>
        <v>82092.28</v>
      </c>
      <c r="G6" s="14">
        <f>'Data Sheet'!G59</f>
        <v>80624.83</v>
      </c>
      <c r="H6" s="14">
        <f>'Data Sheet'!H59</f>
        <v>77605.210000000006</v>
      </c>
      <c r="I6" s="14">
        <f>'Data Sheet'!I59</f>
        <v>92246.85</v>
      </c>
      <c r="J6" s="14">
        <f>'Data Sheet'!J59</f>
        <v>108647.25</v>
      </c>
      <c r="K6" s="14">
        <f>'Data Sheet'!K59</f>
        <v>129024.58</v>
      </c>
    </row>
    <row r="7" spans="1:11" x14ac:dyDescent="0.3">
      <c r="A7" t="s">
        <v>63</v>
      </c>
      <c r="B7" s="14">
        <f>'Data Sheet'!B60</f>
        <v>31806.240000000002</v>
      </c>
      <c r="C7" s="14">
        <f>'Data Sheet'!C60</f>
        <v>35295.919999999998</v>
      </c>
      <c r="D7" s="14">
        <f>'Data Sheet'!D60</f>
        <v>43696.2</v>
      </c>
      <c r="E7" s="14">
        <f>'Data Sheet'!E60</f>
        <v>51056.95</v>
      </c>
      <c r="F7" s="14">
        <f>'Data Sheet'!F60</f>
        <v>43654.54</v>
      </c>
      <c r="G7" s="14">
        <f>'Data Sheet'!G60</f>
        <v>42761.58</v>
      </c>
      <c r="H7" s="14">
        <f>'Data Sheet'!H60</f>
        <v>47660.639999999999</v>
      </c>
      <c r="I7" s="14">
        <f>'Data Sheet'!I60</f>
        <v>55670.49</v>
      </c>
      <c r="J7" s="14">
        <f>'Data Sheet'!J60</f>
        <v>59883.94</v>
      </c>
      <c r="K7" s="14">
        <f>'Data Sheet'!K60</f>
        <v>69949.72</v>
      </c>
    </row>
    <row r="8" spans="1:11" s="2" customFormat="1" x14ac:dyDescent="0.3">
      <c r="A8" s="2" t="s">
        <v>26</v>
      </c>
      <c r="B8" s="15">
        <f>'Data Sheet'!B61</f>
        <v>99851.82</v>
      </c>
      <c r="C8" s="15">
        <f>'Data Sheet'!C61</f>
        <v>113835.48</v>
      </c>
      <c r="D8" s="15">
        <f>'Data Sheet'!D61</f>
        <v>136369.31</v>
      </c>
      <c r="E8" s="15">
        <f>'Data Sheet'!E61</f>
        <v>161888.66</v>
      </c>
      <c r="F8" s="15">
        <f>'Data Sheet'!F61</f>
        <v>165716.13</v>
      </c>
      <c r="G8" s="15">
        <f>'Data Sheet'!G61</f>
        <v>164968.32999999999</v>
      </c>
      <c r="H8" s="15">
        <f>'Data Sheet'!H61</f>
        <v>172388.49</v>
      </c>
      <c r="I8" s="15">
        <f>'Data Sheet'!I61</f>
        <v>204283.13</v>
      </c>
      <c r="J8" s="15">
        <f>'Data Sheet'!J61</f>
        <v>234721.74</v>
      </c>
      <c r="K8" s="15">
        <f>'Data Sheet'!K61</f>
        <v>276013.15999999997</v>
      </c>
    </row>
    <row r="9" spans="1:11" s="2" customFormat="1" x14ac:dyDescent="0.3">
      <c r="B9" s="15"/>
      <c r="C9" s="15"/>
      <c r="D9" s="15"/>
      <c r="E9" s="15"/>
      <c r="F9" s="15"/>
      <c r="G9" s="15"/>
      <c r="H9" s="15"/>
      <c r="I9" s="15"/>
      <c r="J9" s="15"/>
      <c r="K9" s="15"/>
    </row>
    <row r="10" spans="1:11" x14ac:dyDescent="0.3">
      <c r="A10" t="s">
        <v>27</v>
      </c>
      <c r="B10" s="14">
        <f>'Data Sheet'!B62</f>
        <v>20584.71</v>
      </c>
      <c r="C10" s="14">
        <f>'Data Sheet'!C62</f>
        <v>20989.01</v>
      </c>
      <c r="D10" s="14">
        <f>'Data Sheet'!D62</f>
        <v>26181.9</v>
      </c>
      <c r="E10" s="14">
        <f>'Data Sheet'!E62</f>
        <v>28982.74</v>
      </c>
      <c r="F10" s="14">
        <f>'Data Sheet'!F62</f>
        <v>29689.27</v>
      </c>
      <c r="G10" s="14">
        <f>'Data Sheet'!G62</f>
        <v>21379.68</v>
      </c>
      <c r="H10" s="14">
        <f>'Data Sheet'!H62</f>
        <v>26018.49</v>
      </c>
      <c r="I10" s="14">
        <f>'Data Sheet'!I62</f>
        <v>27139.98</v>
      </c>
      <c r="J10" s="14">
        <f>'Data Sheet'!J62</f>
        <v>28129.41</v>
      </c>
      <c r="K10" s="14">
        <f>'Data Sheet'!K62</f>
        <v>34636.36</v>
      </c>
    </row>
    <row r="11" spans="1:11" x14ac:dyDescent="0.3">
      <c r="A11" t="s">
        <v>28</v>
      </c>
      <c r="B11" s="14">
        <f>'Data Sheet'!B63</f>
        <v>2371.35</v>
      </c>
      <c r="C11" s="14">
        <f>'Data Sheet'!C63</f>
        <v>4278.9399999999996</v>
      </c>
      <c r="D11" s="14">
        <f>'Data Sheet'!D63</f>
        <v>4269.47</v>
      </c>
      <c r="E11" s="14">
        <f>'Data Sheet'!E63</f>
        <v>4759.84</v>
      </c>
      <c r="F11" s="14">
        <f>'Data Sheet'!F63</f>
        <v>6856.48</v>
      </c>
      <c r="G11" s="14">
        <f>'Data Sheet'!G63</f>
        <v>7872.61</v>
      </c>
      <c r="H11" s="14">
        <f>'Data Sheet'!H63</f>
        <v>6702.81</v>
      </c>
      <c r="I11" s="14">
        <f>'Data Sheet'!I63</f>
        <v>3968.58</v>
      </c>
      <c r="J11" s="14">
        <f>'Data Sheet'!J63</f>
        <v>8039.3</v>
      </c>
      <c r="K11" s="14">
        <f>'Data Sheet'!K63</f>
        <v>8297.64</v>
      </c>
    </row>
    <row r="12" spans="1:11" x14ac:dyDescent="0.3">
      <c r="A12" t="s">
        <v>29</v>
      </c>
      <c r="B12" s="14">
        <f>'Data Sheet'!B64</f>
        <v>11602.58</v>
      </c>
      <c r="C12" s="14">
        <f>'Data Sheet'!C64</f>
        <v>14662.44</v>
      </c>
      <c r="D12" s="14">
        <f>'Data Sheet'!D64</f>
        <v>16017.61</v>
      </c>
      <c r="E12" s="14">
        <f>'Data Sheet'!E64</f>
        <v>18268.099999999999</v>
      </c>
      <c r="F12" s="14">
        <f>'Data Sheet'!F64</f>
        <v>19210.34</v>
      </c>
      <c r="G12" s="14">
        <f>'Data Sheet'!G64</f>
        <v>28777.66</v>
      </c>
      <c r="H12" s="14">
        <f>'Data Sheet'!H64</f>
        <v>30060.43</v>
      </c>
      <c r="I12" s="14">
        <f>'Data Sheet'!I64</f>
        <v>35272.42</v>
      </c>
      <c r="J12" s="14">
        <f>'Data Sheet'!J64</f>
        <v>35208.1</v>
      </c>
      <c r="K12" s="14">
        <f>'Data Sheet'!K64</f>
        <v>41308.57</v>
      </c>
    </row>
    <row r="13" spans="1:11" x14ac:dyDescent="0.3">
      <c r="A13" t="s">
        <v>64</v>
      </c>
      <c r="B13" s="14">
        <f>'Data Sheet'!B65</f>
        <v>65293.18</v>
      </c>
      <c r="C13" s="14">
        <f>'Data Sheet'!C65</f>
        <v>73905.09</v>
      </c>
      <c r="D13" s="14">
        <f>'Data Sheet'!D65</f>
        <v>89900.33</v>
      </c>
      <c r="E13" s="14">
        <f>'Data Sheet'!E65</f>
        <v>109877.98</v>
      </c>
      <c r="F13" s="14">
        <f>'Data Sheet'!F65</f>
        <v>109960.04</v>
      </c>
      <c r="G13" s="14">
        <f>'Data Sheet'!G65</f>
        <v>106938.38</v>
      </c>
      <c r="H13" s="14">
        <f>'Data Sheet'!H65</f>
        <v>109606.76</v>
      </c>
      <c r="I13" s="14">
        <f>'Data Sheet'!I65</f>
        <v>137902.15</v>
      </c>
      <c r="J13" s="14">
        <f>'Data Sheet'!J65</f>
        <v>163344.93</v>
      </c>
      <c r="K13" s="14">
        <f>'Data Sheet'!K65</f>
        <v>191770.59</v>
      </c>
    </row>
    <row r="14" spans="1:11" s="2" customFormat="1" x14ac:dyDescent="0.3">
      <c r="A14" s="2" t="s">
        <v>26</v>
      </c>
      <c r="B14" s="14">
        <f>'Data Sheet'!B66</f>
        <v>99851.82</v>
      </c>
      <c r="C14" s="14">
        <f>'Data Sheet'!C66</f>
        <v>113835.48</v>
      </c>
      <c r="D14" s="14">
        <f>'Data Sheet'!D66</f>
        <v>136369.31</v>
      </c>
      <c r="E14" s="14">
        <f>'Data Sheet'!E66</f>
        <v>161888.66</v>
      </c>
      <c r="F14" s="14">
        <f>'Data Sheet'!F66</f>
        <v>165716.13</v>
      </c>
      <c r="G14" s="14">
        <f>'Data Sheet'!G66</f>
        <v>164968.32999999999</v>
      </c>
      <c r="H14" s="14">
        <f>'Data Sheet'!H66</f>
        <v>172388.49</v>
      </c>
      <c r="I14" s="14">
        <f>'Data Sheet'!I66</f>
        <v>204283.13</v>
      </c>
      <c r="J14" s="14">
        <f>'Data Sheet'!J66</f>
        <v>234721.74</v>
      </c>
      <c r="K14" s="14">
        <f>'Data Sheet'!K66</f>
        <v>276013.15999999997</v>
      </c>
    </row>
    <row r="15" spans="1:11" x14ac:dyDescent="0.3">
      <c r="B15" s="4"/>
      <c r="C15" s="4"/>
      <c r="D15" s="4"/>
      <c r="E15" s="4"/>
      <c r="F15" s="4"/>
      <c r="G15" s="4"/>
      <c r="H15" s="4"/>
      <c r="I15" s="4"/>
      <c r="J15" s="4"/>
      <c r="K15" s="4"/>
    </row>
    <row r="16" spans="1:11" x14ac:dyDescent="0.3">
      <c r="A16" t="s">
        <v>30</v>
      </c>
      <c r="B16" s="4">
        <f>B13-B7</f>
        <v>33486.94</v>
      </c>
      <c r="C16" s="4">
        <f t="shared" ref="C16:K16" si="0">C13-C7</f>
        <v>38609.17</v>
      </c>
      <c r="D16" s="4">
        <f t="shared" si="0"/>
        <v>46204.130000000005</v>
      </c>
      <c r="E16" s="4">
        <f t="shared" si="0"/>
        <v>58821.03</v>
      </c>
      <c r="F16" s="4">
        <f t="shared" si="0"/>
        <v>66305.5</v>
      </c>
      <c r="G16" s="4">
        <f t="shared" si="0"/>
        <v>64176.800000000003</v>
      </c>
      <c r="H16" s="4">
        <f t="shared" si="0"/>
        <v>61946.119999999995</v>
      </c>
      <c r="I16" s="4">
        <f t="shared" si="0"/>
        <v>82231.66</v>
      </c>
      <c r="J16" s="4">
        <f t="shared" si="0"/>
        <v>103460.98999999999</v>
      </c>
      <c r="K16" s="4">
        <f t="shared" si="0"/>
        <v>121820.87</v>
      </c>
    </row>
    <row r="17" spans="1:11" x14ac:dyDescent="0.3">
      <c r="A17" t="s">
        <v>44</v>
      </c>
      <c r="B17" s="4">
        <f>'Data Sheet'!B67</f>
        <v>5817.6</v>
      </c>
      <c r="C17" s="4">
        <f>'Data Sheet'!C67</f>
        <v>7199.26</v>
      </c>
      <c r="D17" s="4">
        <f>'Data Sheet'!D67</f>
        <v>8489.82</v>
      </c>
      <c r="E17" s="4">
        <f>'Data Sheet'!E67</f>
        <v>8677.89</v>
      </c>
      <c r="F17" s="4">
        <f>'Data Sheet'!F67</f>
        <v>6928.28</v>
      </c>
      <c r="G17" s="4">
        <f>'Data Sheet'!G67</f>
        <v>6007.76</v>
      </c>
      <c r="H17" s="4">
        <f>'Data Sheet'!H67</f>
        <v>6373.95</v>
      </c>
      <c r="I17" s="4">
        <f>'Data Sheet'!I67</f>
        <v>7028.02</v>
      </c>
      <c r="J17" s="4">
        <f>'Data Sheet'!J67</f>
        <v>7459.4</v>
      </c>
      <c r="K17" s="4">
        <f>'Data Sheet'!K67</f>
        <v>8279.7000000000007</v>
      </c>
    </row>
    <row r="18" spans="1:11" x14ac:dyDescent="0.3">
      <c r="A18" t="s">
        <v>45</v>
      </c>
      <c r="B18" s="4">
        <f>'Data Sheet'!B68</f>
        <v>9116.1200000000008</v>
      </c>
      <c r="C18" s="4">
        <f>'Data Sheet'!C68</f>
        <v>8886.01</v>
      </c>
      <c r="D18" s="4">
        <f>'Data Sheet'!D68</f>
        <v>9335.57</v>
      </c>
      <c r="E18" s="4">
        <f>'Data Sheet'!E68</f>
        <v>12200.16</v>
      </c>
      <c r="F18" s="4">
        <f>'Data Sheet'!F68</f>
        <v>11111.86</v>
      </c>
      <c r="G18" s="4">
        <f>'Data Sheet'!G68</f>
        <v>9615.41</v>
      </c>
      <c r="H18" s="4">
        <f>'Data Sheet'!H68</f>
        <v>11595.82</v>
      </c>
      <c r="I18" s="4">
        <f>'Data Sheet'!I68</f>
        <v>16854.97</v>
      </c>
      <c r="J18" s="4">
        <f>'Data Sheet'!J68</f>
        <v>18590.47</v>
      </c>
      <c r="K18" s="4">
        <f>'Data Sheet'!K68</f>
        <v>20330.93</v>
      </c>
    </row>
    <row r="20" spans="1:11" x14ac:dyDescent="0.3">
      <c r="A20" t="s">
        <v>46</v>
      </c>
      <c r="B20" s="4">
        <f>IF('Profit &amp; Loss'!B4&gt;0,'Balance Sheet'!B17/('Profit &amp; Loss'!B4/365),0)</f>
        <v>27.998209949128064</v>
      </c>
      <c r="C20" s="4">
        <f>IF('Profit &amp; Loss'!C4&gt;0,'Balance Sheet'!C17/('Profit &amp; Loss'!C4/365),0)</f>
        <v>31.367246387710608</v>
      </c>
      <c r="D20" s="4">
        <f>IF('Profit &amp; Loss'!D4&gt;0,'Balance Sheet'!D17/('Profit &amp; Loss'!D4/365),0)</f>
        <v>33.648076773772871</v>
      </c>
      <c r="E20" s="4">
        <f>IF('Profit &amp; Loss'!E4&gt;0,'Balance Sheet'!E17/('Profit &amp; Loss'!E4/365),0)</f>
        <v>30.246459916035686</v>
      </c>
      <c r="F20" s="4">
        <f>IF('Profit &amp; Loss'!F4&gt;0,'Balance Sheet'!F17/('Profit &amp; Loss'!F4/365),0)</f>
        <v>33.5467956312607</v>
      </c>
      <c r="G20" s="4">
        <f>IF('Profit &amp; Loss'!G4&gt;0,'Balance Sheet'!G17/('Profit &amp; Loss'!G4/365),0)</f>
        <v>29.522050874433784</v>
      </c>
      <c r="H20" s="4">
        <f>IF('Profit &amp; Loss'!H4&gt;0,'Balance Sheet'!H17/('Profit &amp; Loss'!H4/365),0)</f>
        <v>25.801009686419857</v>
      </c>
      <c r="I20" s="4">
        <f>IF('Profit &amp; Loss'!I4&gt;0,'Balance Sheet'!I17/('Profit &amp; Loss'!I4/365),0)</f>
        <v>21.153277581038118</v>
      </c>
      <c r="J20" s="4">
        <f>IF('Profit &amp; Loss'!J4&gt;0,'Balance Sheet'!J17/('Profit &amp; Loss'!J4/365),0)</f>
        <v>19.576609631396767</v>
      </c>
      <c r="K20" s="4">
        <f>IF('Profit &amp; Loss'!K4&gt;0,'Balance Sheet'!K17/('Profit &amp; Loss'!K4/365),0)</f>
        <v>18.981690440385901</v>
      </c>
    </row>
    <row r="21" spans="1:11" x14ac:dyDescent="0.3">
      <c r="A21" t="s">
        <v>47</v>
      </c>
      <c r="B21" s="4">
        <f>IF('Balance Sheet'!B18&gt;0,'Profit &amp; Loss'!B4/'Balance Sheet'!B18,0)</f>
        <v>8.319484605292601</v>
      </c>
      <c r="C21" s="4">
        <f>IF('Balance Sheet'!C18&gt;0,'Profit &amp; Loss'!C4/'Balance Sheet'!C18,0)</f>
        <v>9.4275214635139957</v>
      </c>
      <c r="D21" s="4">
        <f>IF('Balance Sheet'!D18&gt;0,'Profit &amp; Loss'!D4/'Balance Sheet'!D18,0)</f>
        <v>9.8648448889569682</v>
      </c>
      <c r="E21" s="4">
        <f>IF('Balance Sheet'!E18&gt;0,'Profit &amp; Loss'!E4/'Balance Sheet'!E18,0)</f>
        <v>8.5835497239380469</v>
      </c>
      <c r="F21" s="4">
        <f>IF('Balance Sheet'!F18&gt;0,'Profit &amp; Loss'!F4/'Balance Sheet'!F18,0)</f>
        <v>6.7839164640303231</v>
      </c>
      <c r="G21" s="4">
        <f>IF('Balance Sheet'!G18&gt;0,'Profit &amp; Loss'!G4/'Balance Sheet'!G18,0)</f>
        <v>7.7248687263465623</v>
      </c>
      <c r="H21" s="4">
        <f>IF('Balance Sheet'!H18&gt;0,'Profit &amp; Loss'!H4/'Balance Sheet'!H18,0)</f>
        <v>7.7761270871745172</v>
      </c>
      <c r="I21" s="4">
        <f>IF('Balance Sheet'!I18&gt;0,'Profit &amp; Loss'!I4/'Balance Sheet'!I18,0)</f>
        <v>7.1948244345733032</v>
      </c>
      <c r="J21" s="4">
        <f>IF('Balance Sheet'!J18&gt;0,'Profit &amp; Loss'!J4/'Balance Sheet'!J18,0)</f>
        <v>7.4811594327631301</v>
      </c>
      <c r="K21" s="4">
        <f>IF('Balance Sheet'!K18&gt;0,'Profit &amp; Loss'!K4/'Balance Sheet'!K18,0)</f>
        <v>7.8309659223655785</v>
      </c>
    </row>
    <row r="23" spans="1:11" s="2" customFormat="1" x14ac:dyDescent="0.3">
      <c r="A23" s="2" t="s">
        <v>50</v>
      </c>
      <c r="B23" s="10">
        <f>IF(SUM('Balance Sheet'!B4:B5)&gt;0,'Profit &amp; Loss'!B12/SUM('Balance Sheet'!B4:B5),"")</f>
        <v>0.11884164098344256</v>
      </c>
      <c r="C23" s="10">
        <f>IF(SUM('Balance Sheet'!C4:C5)&gt;0,'Profit &amp; Loss'!C12/SUM('Balance Sheet'!C4:C5),"")</f>
        <v>0.12418844334593228</v>
      </c>
      <c r="D23" s="10">
        <f>IF(SUM('Balance Sheet'!D4:D5)&gt;0,'Profit &amp; Loss'!D12/SUM('Balance Sheet'!D4:D5),"")</f>
        <v>0.20422436974492861</v>
      </c>
      <c r="E23" s="10">
        <f>IF(SUM('Balance Sheet'!E4:E5)&gt;0,'Profit &amp; Loss'!E12/SUM('Balance Sheet'!E4:E5),"")</f>
        <v>0.13294163754417146</v>
      </c>
      <c r="F23" s="10">
        <f>IF(SUM('Balance Sheet'!F4:F5)&gt;0,'Profit &amp; Loss'!F12/SUM('Balance Sheet'!F4:F5),"")</f>
        <v>3.1784386570596294E-3</v>
      </c>
      <c r="G23" s="10">
        <f>IF(SUM('Balance Sheet'!G4:G5)&gt;0,'Profit &amp; Loss'!G12/SUM('Balance Sheet'!G4:G5),"")</f>
        <v>4.3588415349748159E-2</v>
      </c>
      <c r="H23" s="10">
        <f>IF(SUM('Balance Sheet'!H4:H5)&gt;0,'Profit &amp; Loss'!H12/SUM('Balance Sheet'!H4:H5),"")</f>
        <v>0.13957876723375431</v>
      </c>
      <c r="I23" s="10">
        <f>IF(SUM('Balance Sheet'!I4:I5)&gt;0,'Profit &amp; Loss'!I12/SUM('Balance Sheet'!I4:I5),"")</f>
        <v>0.18240673997472581</v>
      </c>
      <c r="J23" s="10">
        <f>IF(SUM('Balance Sheet'!J4:J5)&gt;0,'Profit &amp; Loss'!J12/SUM('Balance Sheet'!J4:J5),"")</f>
        <v>0.1702454504457207</v>
      </c>
      <c r="K23" s="10">
        <f>IF(SUM('Balance Sheet'!K4:K5)&gt;0,'Profit &amp; Loss'!K12/SUM('Balance Sheet'!K4:K5),"")</f>
        <v>0.1678256921247277</v>
      </c>
    </row>
    <row r="24" spans="1:11" s="2" customFormat="1" x14ac:dyDescent="0.3">
      <c r="A24" s="2" t="s">
        <v>51</v>
      </c>
      <c r="B24" s="10"/>
      <c r="C24" s="10">
        <f>IF((B4+B5+B6+C4+C5+C6)&gt;0,('Profit &amp; Loss'!C10+'Profit &amp; Loss'!C9)*2/(B4+B5+B6+C4+C5+C6),"")</f>
        <v>0.13642201385488326</v>
      </c>
      <c r="D24" s="10">
        <f>IF((C4+C5+C6+D4+D5+D6)&gt;0,('Profit &amp; Loss'!D10+'Profit &amp; Loss'!D9)*2/(C4+C5+C6+D4+D5+D6),"")</f>
        <v>0.16719101454349147</v>
      </c>
      <c r="E24" s="10">
        <f>IF((D4+D5+D6+E4+E5+E6)&gt;0,('Profit &amp; Loss'!E10+'Profit &amp; Loss'!E9)*2/(D4+D5+D6+E4+E5+E6),"")</f>
        <v>0.13652934608624995</v>
      </c>
      <c r="F24" s="10">
        <f>IF((E4+E5+E6+F4+F5+F6)&gt;0,('Profit &amp; Loss'!F10+'Profit &amp; Loss'!F9)*2/(E4+E5+E6+F4+F5+F6),"")</f>
        <v>6.5916537744967321E-2</v>
      </c>
      <c r="G24" s="10">
        <f>IF((F4+F5+F6+G4+G5+G6)&gt;0,('Profit &amp; Loss'!G10+'Profit &amp; Loss'!G9)*2/(F4+F5+F6+G4+G5+G6),"")</f>
        <v>7.5821696745472636E-2</v>
      </c>
      <c r="H24" s="10">
        <f>IF((G4+G5+G6+H4+H5+H6)&gt;0,('Profit &amp; Loss'!H10+'Profit &amp; Loss'!H9)*2/(G4+G5+G6+H4+H5+H6),"")</f>
        <v>0.11646662719602678</v>
      </c>
      <c r="I24" s="10">
        <f>IF((H4+H5+H6+I4+I5+I6)&gt;0,('Profit &amp; Loss'!I10+'Profit &amp; Loss'!I9)*2/(H4+H5+H6+I4+I5+I6),"")</f>
        <v>0.14553226271014588</v>
      </c>
      <c r="J24" s="10">
        <f>IF((I4+I5+I6+J4+J5+J6)&gt;0,('Profit &amp; Loss'!J10+'Profit &amp; Loss'!J9)*2/(I4+I5+I6+J4+J5+J6),"")</f>
        <v>0.14509796307588885</v>
      </c>
      <c r="K24" s="10">
        <f>IF((J4+J5+J6+K4+K5+K6)&gt;0,('Profit &amp; Loss'!K10+'Profit &amp; Loss'!K9)*2/(J4+J5+J6+K4+K5+K6),"")</f>
        <v>0.14787565406718026</v>
      </c>
    </row>
  </sheetData>
  <hyperlinks>
    <hyperlink ref="J1" r:id="rId1" xr:uid="{00000000-0004-0000-0200-000000000000}"/>
  </hyperlinks>
  <printOptions gridLines="1"/>
  <pageMargins left="0.7" right="0.7" top="0.75" bottom="0.75" header="0.3" footer="0.3"/>
  <pageSetup paperSize="9" orientation="landscape"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8"/>
  <sheetViews>
    <sheetView zoomScale="150" zoomScaleNormal="150" zoomScalePageLayoutView="150" workbookViewId="0">
      <pane xSplit="1" ySplit="3" topLeftCell="E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6.77734375" bestFit="1" customWidth="1"/>
    <col min="2" max="6" width="13.44140625" customWidth="1"/>
    <col min="7" max="11" width="13.44140625" bestFit="1" customWidth="1"/>
  </cols>
  <sheetData>
    <row r="1" spans="1:11" s="2" customFormat="1" x14ac:dyDescent="0.3">
      <c r="A1" s="2" t="str">
        <f>'Balance Sheet'!A1</f>
        <v>MAHINDRA &amp; MAHINDRA LTD</v>
      </c>
      <c r="E1" t="str">
        <f>UPDATE</f>
        <v/>
      </c>
      <c r="F1"/>
      <c r="J1" s="2" t="s">
        <v>1</v>
      </c>
    </row>
    <row r="3" spans="1:11" s="2" customFormat="1" x14ac:dyDescent="0.3">
      <c r="A3" s="11" t="s">
        <v>2</v>
      </c>
      <c r="B3" s="12">
        <f>'Data Sheet'!B81</f>
        <v>42460</v>
      </c>
      <c r="C3" s="12">
        <f>'Data Sheet'!C81</f>
        <v>42825</v>
      </c>
      <c r="D3" s="12">
        <f>'Data Sheet'!D81</f>
        <v>43190</v>
      </c>
      <c r="E3" s="12">
        <f>'Data Sheet'!E81</f>
        <v>43555</v>
      </c>
      <c r="F3" s="12">
        <f>'Data Sheet'!F81</f>
        <v>43921</v>
      </c>
      <c r="G3" s="12">
        <f>'Data Sheet'!G81</f>
        <v>44286</v>
      </c>
      <c r="H3" s="12">
        <f>'Data Sheet'!H81</f>
        <v>44651</v>
      </c>
      <c r="I3" s="12">
        <f>'Data Sheet'!I81</f>
        <v>45016</v>
      </c>
      <c r="J3" s="12">
        <f>'Data Sheet'!J81</f>
        <v>45382</v>
      </c>
      <c r="K3" s="12">
        <f>'Data Sheet'!K81</f>
        <v>45747</v>
      </c>
    </row>
    <row r="4" spans="1:11" s="2" customFormat="1" x14ac:dyDescent="0.3">
      <c r="A4" s="2" t="s">
        <v>32</v>
      </c>
      <c r="B4" s="1">
        <f>'Data Sheet'!B82</f>
        <v>2384.7600000000002</v>
      </c>
      <c r="C4" s="1">
        <f>'Data Sheet'!C82</f>
        <v>183.09</v>
      </c>
      <c r="D4" s="1">
        <f>'Data Sheet'!D82</f>
        <v>681.86</v>
      </c>
      <c r="E4" s="1">
        <f>'Data Sheet'!E82</f>
        <v>-4347.29</v>
      </c>
      <c r="F4" s="1">
        <f>'Data Sheet'!F82</f>
        <v>-1456.93</v>
      </c>
      <c r="G4" s="1">
        <f>'Data Sheet'!G82</f>
        <v>17908.830000000002</v>
      </c>
      <c r="H4" s="1">
        <f>'Data Sheet'!H82</f>
        <v>9247.5499999999993</v>
      </c>
      <c r="I4" s="1">
        <f>'Data Sheet'!I82</f>
        <v>-7074.02</v>
      </c>
      <c r="J4" s="1">
        <f>'Data Sheet'!J82</f>
        <v>-5629.95</v>
      </c>
      <c r="K4" s="1">
        <f>'Data Sheet'!K82</f>
        <v>3175.81</v>
      </c>
    </row>
    <row r="5" spans="1:11" x14ac:dyDescent="0.3">
      <c r="A5" t="s">
        <v>33</v>
      </c>
      <c r="B5" s="6">
        <f>'Data Sheet'!B83</f>
        <v>-5505.97</v>
      </c>
      <c r="C5" s="6">
        <f>'Data Sheet'!C83</f>
        <v>-5875.29</v>
      </c>
      <c r="D5" s="6">
        <f>'Data Sheet'!D83</f>
        <v>-5467.22</v>
      </c>
      <c r="E5" s="6">
        <f>'Data Sheet'!E83</f>
        <v>-7173.97</v>
      </c>
      <c r="F5" s="6">
        <f>'Data Sheet'!F83</f>
        <v>-6869.79</v>
      </c>
      <c r="G5" s="6">
        <f>'Data Sheet'!G83</f>
        <v>-19685.5</v>
      </c>
      <c r="H5" s="6">
        <f>'Data Sheet'!H83</f>
        <v>-3251.95</v>
      </c>
      <c r="I5" s="6">
        <f>'Data Sheet'!I83</f>
        <v>-8866.27</v>
      </c>
      <c r="J5" s="6">
        <f>'Data Sheet'!J83</f>
        <v>-5614.77</v>
      </c>
      <c r="K5" s="6">
        <f>'Data Sheet'!K83</f>
        <v>-18616.13</v>
      </c>
    </row>
    <row r="6" spans="1:11" x14ac:dyDescent="0.3">
      <c r="A6" t="s">
        <v>34</v>
      </c>
      <c r="B6" s="6">
        <f>'Data Sheet'!B84</f>
        <v>2966.81</v>
      </c>
      <c r="C6" s="6">
        <f>'Data Sheet'!C84</f>
        <v>6107.97</v>
      </c>
      <c r="D6" s="6">
        <f>'Data Sheet'!D84</f>
        <v>6314.5</v>
      </c>
      <c r="E6" s="6">
        <f>'Data Sheet'!E84</f>
        <v>13193.63</v>
      </c>
      <c r="F6" s="6">
        <f>'Data Sheet'!F84</f>
        <v>6932.75</v>
      </c>
      <c r="G6" s="6">
        <f>'Data Sheet'!G84</f>
        <v>406.23</v>
      </c>
      <c r="H6" s="6">
        <f>'Data Sheet'!H84</f>
        <v>-5882.6</v>
      </c>
      <c r="I6" s="6">
        <f>'Data Sheet'!I84</f>
        <v>15946.11</v>
      </c>
      <c r="J6" s="6">
        <f>'Data Sheet'!J84</f>
        <v>12281.41</v>
      </c>
      <c r="K6" s="6">
        <f>'Data Sheet'!K84</f>
        <v>15834.11</v>
      </c>
    </row>
    <row r="7" spans="1:11" s="2" customFormat="1" x14ac:dyDescent="0.3">
      <c r="A7" s="2" t="s">
        <v>35</v>
      </c>
      <c r="B7" s="1">
        <f>'Data Sheet'!B85</f>
        <v>-154.4</v>
      </c>
      <c r="C7" s="1">
        <f>'Data Sheet'!C85</f>
        <v>415.77</v>
      </c>
      <c r="D7" s="1">
        <f>'Data Sheet'!D85</f>
        <v>1529.14</v>
      </c>
      <c r="E7" s="1">
        <f>'Data Sheet'!E85</f>
        <v>1672.37</v>
      </c>
      <c r="F7" s="1">
        <f>'Data Sheet'!F85</f>
        <v>-1393.97</v>
      </c>
      <c r="G7" s="1">
        <f>'Data Sheet'!G85</f>
        <v>-1370.44</v>
      </c>
      <c r="H7" s="1">
        <f>'Data Sheet'!H85</f>
        <v>113</v>
      </c>
      <c r="I7" s="1">
        <f>'Data Sheet'!I85</f>
        <v>5.82</v>
      </c>
      <c r="J7" s="1">
        <f>'Data Sheet'!J85</f>
        <v>1036.69</v>
      </c>
      <c r="K7" s="1">
        <f>'Data Sheet'!K85</f>
        <v>393.79</v>
      </c>
    </row>
    <row r="8" spans="1:11" x14ac:dyDescent="0.3">
      <c r="B8" s="6"/>
      <c r="C8" s="6"/>
      <c r="D8" s="6"/>
      <c r="E8" s="6"/>
      <c r="F8" s="6"/>
      <c r="G8" s="6"/>
      <c r="H8" s="6"/>
      <c r="I8" s="6"/>
      <c r="J8" s="6"/>
      <c r="K8" s="6"/>
    </row>
  </sheetData>
  <hyperlinks>
    <hyperlink ref="J1" r:id="rId1" xr:uid="{00000000-0004-0000-0300-000000000000}"/>
  </hyperlinks>
  <printOptions gridLines="1"/>
  <pageMargins left="0.7" right="0.7" top="0.75" bottom="0.75" header="0.3" footer="0.3"/>
  <pageSetup paperSize="9" orientation="landscape"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3"/>
  <sheetViews>
    <sheetView zoomScale="120" zoomScaleNormal="120" zoomScalePageLayoutView="120" workbookViewId="0">
      <pane xSplit="1" ySplit="1" topLeftCell="E38" activePane="bottomRight" state="frozen"/>
      <selection activeCell="C4" sqref="C4"/>
      <selection pane="topRight" activeCell="C4" sqref="C4"/>
      <selection pane="bottomLeft" activeCell="C4" sqref="C4"/>
      <selection pane="bottomRight" activeCell="A51" sqref="A51"/>
    </sheetView>
  </sheetViews>
  <sheetFormatPr defaultColWidth="8.77734375" defaultRowHeight="14.4" x14ac:dyDescent="0.3"/>
  <cols>
    <col min="1" max="1" width="27.6640625" style="4" bestFit="1" customWidth="1"/>
    <col min="2" max="11" width="13.44140625" style="4" bestFit="1" customWidth="1"/>
    <col min="12" max="16384" width="8.77734375" style="4"/>
  </cols>
  <sheetData>
    <row r="1" spans="1:11" s="1" customFormat="1" x14ac:dyDescent="0.3">
      <c r="A1" s="1" t="s">
        <v>0</v>
      </c>
      <c r="B1" s="1" t="s">
        <v>54</v>
      </c>
      <c r="E1" s="21" t="str">
        <f>IF(B2&lt;&gt;B3, "A NEW VERSION OF THE WORKSHEET IS AVAILABLE", "")</f>
        <v/>
      </c>
      <c r="F1" s="21"/>
      <c r="G1" s="21"/>
      <c r="H1" s="21"/>
      <c r="I1" s="21"/>
      <c r="J1" s="21"/>
      <c r="K1" s="21"/>
    </row>
    <row r="2" spans="1:11" x14ac:dyDescent="0.3">
      <c r="A2" s="1" t="s">
        <v>52</v>
      </c>
      <c r="B2" s="4">
        <v>2.1</v>
      </c>
      <c r="E2" s="22" t="s">
        <v>36</v>
      </c>
      <c r="F2" s="22"/>
      <c r="G2" s="22"/>
      <c r="H2" s="22"/>
      <c r="I2" s="22"/>
      <c r="J2" s="22"/>
      <c r="K2" s="22"/>
    </row>
    <row r="3" spans="1:11" x14ac:dyDescent="0.3">
      <c r="A3" s="1" t="s">
        <v>53</v>
      </c>
      <c r="B3" s="4">
        <v>2.1</v>
      </c>
    </row>
    <row r="4" spans="1:11" x14ac:dyDescent="0.3">
      <c r="A4" s="1"/>
    </row>
    <row r="5" spans="1:11" x14ac:dyDescent="0.3">
      <c r="A5" s="1" t="s">
        <v>55</v>
      </c>
    </row>
    <row r="6" spans="1:11" x14ac:dyDescent="0.3">
      <c r="A6" s="4" t="s">
        <v>42</v>
      </c>
      <c r="B6" s="4">
        <f>IF(B9&gt;0, B9/B8, 0)</f>
        <v>124.35974358619353</v>
      </c>
    </row>
    <row r="7" spans="1:11" x14ac:dyDescent="0.3">
      <c r="A7" s="4" t="s">
        <v>31</v>
      </c>
      <c r="B7">
        <v>5</v>
      </c>
    </row>
    <row r="8" spans="1:11" x14ac:dyDescent="0.3">
      <c r="A8" s="4" t="s">
        <v>43</v>
      </c>
      <c r="B8">
        <v>3611.35</v>
      </c>
    </row>
    <row r="9" spans="1:11" x14ac:dyDescent="0.3">
      <c r="A9" s="4" t="s">
        <v>70</v>
      </c>
      <c r="B9">
        <v>449106.56</v>
      </c>
    </row>
    <row r="15" spans="1:11" x14ac:dyDescent="0.3">
      <c r="A15" s="1" t="s">
        <v>37</v>
      </c>
    </row>
    <row r="16" spans="1:11" s="18" customFormat="1" x14ac:dyDescent="0.3">
      <c r="A16" s="17" t="s">
        <v>38</v>
      </c>
      <c r="B16" s="12">
        <v>42460</v>
      </c>
      <c r="C16" s="12">
        <v>42825</v>
      </c>
      <c r="D16" s="12">
        <v>43190</v>
      </c>
      <c r="E16" s="12">
        <v>43555</v>
      </c>
      <c r="F16" s="12">
        <v>43921</v>
      </c>
      <c r="G16" s="12">
        <v>44286</v>
      </c>
      <c r="H16" s="12">
        <v>44651</v>
      </c>
      <c r="I16" s="12">
        <v>45016</v>
      </c>
      <c r="J16" s="12">
        <v>45382</v>
      </c>
      <c r="K16" s="12">
        <v>45747</v>
      </c>
    </row>
    <row r="17" spans="1:11" s="6" customFormat="1" x14ac:dyDescent="0.3">
      <c r="A17" s="6" t="s">
        <v>6</v>
      </c>
      <c r="B17">
        <v>75841.42</v>
      </c>
      <c r="C17">
        <v>83773.05</v>
      </c>
      <c r="D17">
        <v>92093.95</v>
      </c>
      <c r="E17">
        <v>104720.68</v>
      </c>
      <c r="F17">
        <v>75381.929999999993</v>
      </c>
      <c r="G17">
        <v>74277.78</v>
      </c>
      <c r="H17">
        <v>90170.57</v>
      </c>
      <c r="I17">
        <v>121268.55</v>
      </c>
      <c r="J17">
        <v>139078.26999999999</v>
      </c>
      <c r="K17">
        <v>159210.82</v>
      </c>
    </row>
    <row r="18" spans="1:11" s="6" customFormat="1" x14ac:dyDescent="0.3">
      <c r="A18" s="4" t="s">
        <v>71</v>
      </c>
      <c r="B18">
        <v>45584.35</v>
      </c>
      <c r="C18">
        <v>50655.199999999997</v>
      </c>
      <c r="D18">
        <v>53457.29</v>
      </c>
      <c r="E18">
        <v>61881.19</v>
      </c>
      <c r="F18">
        <v>37595.300000000003</v>
      </c>
      <c r="G18">
        <v>38271.199999999997</v>
      </c>
      <c r="H18">
        <v>52664.85</v>
      </c>
      <c r="I18">
        <v>76019.87</v>
      </c>
      <c r="J18">
        <v>85070.07</v>
      </c>
      <c r="K18">
        <v>95754.9</v>
      </c>
    </row>
    <row r="19" spans="1:11" s="6" customFormat="1" x14ac:dyDescent="0.3">
      <c r="A19" s="4" t="s">
        <v>72</v>
      </c>
      <c r="B19">
        <v>458.51</v>
      </c>
      <c r="C19">
        <v>13.83</v>
      </c>
      <c r="D19">
        <v>-83.33</v>
      </c>
      <c r="E19">
        <v>1730.48</v>
      </c>
      <c r="F19">
        <v>-826.62</v>
      </c>
      <c r="G19">
        <v>-135.59</v>
      </c>
      <c r="H19">
        <v>861.66</v>
      </c>
      <c r="I19">
        <v>2032.31</v>
      </c>
      <c r="J19">
        <v>1455.32</v>
      </c>
      <c r="K19">
        <v>12.18</v>
      </c>
    </row>
    <row r="20" spans="1:11" s="6" customFormat="1" x14ac:dyDescent="0.3">
      <c r="A20" s="4" t="s">
        <v>73</v>
      </c>
      <c r="B20">
        <v>639.97</v>
      </c>
      <c r="C20">
        <v>657.06</v>
      </c>
      <c r="D20">
        <v>733.9</v>
      </c>
      <c r="E20">
        <v>817.11</v>
      </c>
      <c r="F20">
        <v>530.91999999999996</v>
      </c>
      <c r="G20">
        <v>429.56</v>
      </c>
      <c r="H20">
        <v>541.27</v>
      </c>
      <c r="I20">
        <v>830.48</v>
      </c>
      <c r="J20">
        <v>752.73</v>
      </c>
      <c r="K20">
        <v>832.35</v>
      </c>
    </row>
    <row r="21" spans="1:11" s="6" customFormat="1" x14ac:dyDescent="0.3">
      <c r="A21" s="4" t="s">
        <v>74</v>
      </c>
      <c r="B21">
        <v>2618.6999999999998</v>
      </c>
      <c r="C21">
        <v>3255.3</v>
      </c>
      <c r="D21">
        <v>3590.26</v>
      </c>
      <c r="E21">
        <v>4253</v>
      </c>
      <c r="F21">
        <v>3277.79</v>
      </c>
      <c r="G21">
        <v>2523.4</v>
      </c>
      <c r="H21">
        <v>3124.27</v>
      </c>
      <c r="I21">
        <v>3838.42</v>
      </c>
      <c r="J21">
        <v>3791.75</v>
      </c>
      <c r="K21">
        <v>4162.28</v>
      </c>
    </row>
    <row r="22" spans="1:11" s="6" customFormat="1" x14ac:dyDescent="0.3">
      <c r="A22" s="4" t="s">
        <v>75</v>
      </c>
      <c r="B22">
        <v>7689.4</v>
      </c>
      <c r="C22">
        <v>8910.6299999999992</v>
      </c>
      <c r="D22">
        <v>10004.620000000001</v>
      </c>
      <c r="E22">
        <v>11242.08</v>
      </c>
      <c r="F22">
        <v>8214.82</v>
      </c>
      <c r="G22">
        <v>7813.26</v>
      </c>
      <c r="H22">
        <v>8386.74</v>
      </c>
      <c r="I22">
        <v>9677.9500000000007</v>
      </c>
      <c r="J22">
        <v>10624.33</v>
      </c>
      <c r="K22">
        <v>11126.17</v>
      </c>
    </row>
    <row r="23" spans="1:11" s="6" customFormat="1" x14ac:dyDescent="0.3">
      <c r="A23" s="4" t="s">
        <v>76</v>
      </c>
      <c r="B23">
        <v>5758.86</v>
      </c>
      <c r="C23">
        <v>6253.64</v>
      </c>
      <c r="D23">
        <v>7591.15</v>
      </c>
      <c r="E23">
        <v>9658.98</v>
      </c>
      <c r="F23">
        <v>6316.52</v>
      </c>
      <c r="G23">
        <v>4628.75</v>
      </c>
      <c r="H23">
        <v>5977.67</v>
      </c>
      <c r="I23">
        <v>7681.87</v>
      </c>
      <c r="J23">
        <v>9832.2000000000007</v>
      </c>
      <c r="K23">
        <v>10811.4</v>
      </c>
    </row>
    <row r="24" spans="1:11" s="6" customFormat="1" x14ac:dyDescent="0.3">
      <c r="A24" s="4" t="s">
        <v>77</v>
      </c>
      <c r="B24">
        <v>3926.21</v>
      </c>
      <c r="C24">
        <v>3320.22</v>
      </c>
      <c r="D24">
        <v>3407.3</v>
      </c>
      <c r="E24">
        <v>3392.29</v>
      </c>
      <c r="F24">
        <v>8462.2099999999991</v>
      </c>
      <c r="G24">
        <v>8989</v>
      </c>
      <c r="H24">
        <v>5654.58</v>
      </c>
      <c r="I24">
        <v>4966.9799999999996</v>
      </c>
      <c r="J24">
        <v>5570.58</v>
      </c>
      <c r="K24">
        <v>6017.71</v>
      </c>
    </row>
    <row r="25" spans="1:11" s="6" customFormat="1" x14ac:dyDescent="0.3">
      <c r="A25" s="6" t="s">
        <v>9</v>
      </c>
      <c r="B25">
        <v>1398.83</v>
      </c>
      <c r="C25">
        <v>2076.61</v>
      </c>
      <c r="D25">
        <v>4366.41</v>
      </c>
      <c r="E25">
        <v>2676.45</v>
      </c>
      <c r="F25">
        <v>884.69</v>
      </c>
      <c r="G25">
        <v>1151.51</v>
      </c>
      <c r="H25">
        <v>3204.47</v>
      </c>
      <c r="I25">
        <v>3961.45</v>
      </c>
      <c r="J25">
        <v>3297.85</v>
      </c>
      <c r="K25">
        <v>3718.47</v>
      </c>
    </row>
    <row r="26" spans="1:11" s="6" customFormat="1" x14ac:dyDescent="0.3">
      <c r="A26" s="6" t="s">
        <v>10</v>
      </c>
      <c r="B26">
        <v>2441.65</v>
      </c>
      <c r="C26">
        <v>2812.72</v>
      </c>
      <c r="D26">
        <v>3279.9</v>
      </c>
      <c r="E26">
        <v>3990.77</v>
      </c>
      <c r="F26">
        <v>3366.68</v>
      </c>
      <c r="G26">
        <v>3378.11</v>
      </c>
      <c r="H26">
        <v>3507.5</v>
      </c>
      <c r="I26">
        <v>4356.8100000000004</v>
      </c>
      <c r="J26">
        <v>4723.78</v>
      </c>
      <c r="K26">
        <v>6073.65</v>
      </c>
    </row>
    <row r="27" spans="1:11" s="6" customFormat="1" x14ac:dyDescent="0.3">
      <c r="A27" s="6" t="s">
        <v>11</v>
      </c>
      <c r="B27">
        <v>3367.59</v>
      </c>
      <c r="C27">
        <v>3648.46</v>
      </c>
      <c r="D27">
        <v>3987.09</v>
      </c>
      <c r="E27">
        <v>5021.3500000000004</v>
      </c>
      <c r="F27">
        <v>6021.15</v>
      </c>
      <c r="G27">
        <v>6102.22</v>
      </c>
      <c r="H27">
        <v>5018.05</v>
      </c>
      <c r="I27">
        <v>5829.7</v>
      </c>
      <c r="J27">
        <v>7488.21</v>
      </c>
      <c r="K27">
        <v>9083.39</v>
      </c>
    </row>
    <row r="28" spans="1:11" s="6" customFormat="1" x14ac:dyDescent="0.3">
      <c r="A28" s="6" t="s">
        <v>12</v>
      </c>
      <c r="B28">
        <v>5672.03</v>
      </c>
      <c r="C28">
        <v>6350.26</v>
      </c>
      <c r="D28">
        <v>10325.52</v>
      </c>
      <c r="E28">
        <v>8870.84</v>
      </c>
      <c r="F28">
        <v>1654.61</v>
      </c>
      <c r="G28">
        <v>3158.2</v>
      </c>
      <c r="H28">
        <v>9361.77</v>
      </c>
      <c r="I28">
        <v>14060.23</v>
      </c>
      <c r="J28">
        <v>15977.79</v>
      </c>
      <c r="K28">
        <v>19079.62</v>
      </c>
    </row>
    <row r="29" spans="1:11" s="6" customFormat="1" x14ac:dyDescent="0.3">
      <c r="A29" s="6" t="s">
        <v>13</v>
      </c>
      <c r="B29">
        <v>2117.5300000000002</v>
      </c>
      <c r="C29">
        <v>2299.73</v>
      </c>
      <c r="D29">
        <v>2367.73</v>
      </c>
      <c r="E29">
        <v>2853.99</v>
      </c>
      <c r="F29">
        <v>1975.61</v>
      </c>
      <c r="G29">
        <v>1645.81</v>
      </c>
      <c r="H29">
        <v>2108.7600000000002</v>
      </c>
      <c r="I29">
        <v>2685.75</v>
      </c>
      <c r="J29">
        <v>3707.97</v>
      </c>
      <c r="K29">
        <v>5006.45</v>
      </c>
    </row>
    <row r="30" spans="1:11" s="6" customFormat="1" x14ac:dyDescent="0.3">
      <c r="A30" s="6" t="s">
        <v>14</v>
      </c>
      <c r="B30">
        <v>3148.43</v>
      </c>
      <c r="C30">
        <v>3698.04</v>
      </c>
      <c r="D30">
        <v>7510.39</v>
      </c>
      <c r="E30">
        <v>5315.46</v>
      </c>
      <c r="F30">
        <v>127.04</v>
      </c>
      <c r="G30">
        <v>1812.49</v>
      </c>
      <c r="H30">
        <v>6577.32</v>
      </c>
      <c r="I30">
        <v>10281.5</v>
      </c>
      <c r="J30">
        <v>11268.64</v>
      </c>
      <c r="K30">
        <v>12929.1</v>
      </c>
    </row>
    <row r="31" spans="1:11" s="6" customFormat="1" x14ac:dyDescent="0.3">
      <c r="A31" s="6" t="s">
        <v>61</v>
      </c>
      <c r="B31">
        <v>648.96</v>
      </c>
      <c r="C31">
        <v>807.43</v>
      </c>
      <c r="D31">
        <v>814.7</v>
      </c>
      <c r="E31">
        <v>924.73</v>
      </c>
      <c r="F31">
        <v>260.51</v>
      </c>
      <c r="G31">
        <v>971.51</v>
      </c>
      <c r="H31">
        <v>1284.5</v>
      </c>
      <c r="I31">
        <v>1809.66</v>
      </c>
      <c r="J31">
        <v>2352.14</v>
      </c>
      <c r="K31">
        <v>2824.24</v>
      </c>
    </row>
    <row r="32" spans="1:11" s="6" customFormat="1" x14ac:dyDescent="0.3"/>
    <row r="33" spans="1:11" x14ac:dyDescent="0.3">
      <c r="A33" s="6"/>
    </row>
    <row r="34" spans="1:11" x14ac:dyDescent="0.3">
      <c r="A34" s="6"/>
    </row>
    <row r="35" spans="1:11" x14ac:dyDescent="0.3">
      <c r="A35" s="6"/>
    </row>
    <row r="36" spans="1:11" x14ac:dyDescent="0.3">
      <c r="A36" s="6"/>
    </row>
    <row r="37" spans="1:11" x14ac:dyDescent="0.3">
      <c r="A37" s="6"/>
    </row>
    <row r="38" spans="1:11" x14ac:dyDescent="0.3">
      <c r="A38" s="6"/>
    </row>
    <row r="39" spans="1:11" x14ac:dyDescent="0.3">
      <c r="A39" s="6"/>
    </row>
    <row r="40" spans="1:11" x14ac:dyDescent="0.3">
      <c r="A40" s="1" t="s">
        <v>39</v>
      </c>
    </row>
    <row r="41" spans="1:11" s="18" customFormat="1" x14ac:dyDescent="0.3">
      <c r="A41" s="17" t="s">
        <v>38</v>
      </c>
      <c r="B41" s="12">
        <v>45016</v>
      </c>
      <c r="C41" s="12">
        <v>45107</v>
      </c>
      <c r="D41" s="12">
        <v>45199</v>
      </c>
      <c r="E41" s="12">
        <v>45291</v>
      </c>
      <c r="F41" s="12">
        <v>45382</v>
      </c>
      <c r="G41" s="12">
        <v>45473</v>
      </c>
      <c r="H41" s="12">
        <v>45565</v>
      </c>
      <c r="I41" s="12">
        <v>45657</v>
      </c>
      <c r="J41" s="12">
        <v>45747</v>
      </c>
      <c r="K41" s="12">
        <v>45838</v>
      </c>
    </row>
    <row r="42" spans="1:11" s="6" customFormat="1" x14ac:dyDescent="0.3">
      <c r="A42" s="6" t="s">
        <v>6</v>
      </c>
      <c r="B42">
        <v>32455.65</v>
      </c>
      <c r="C42">
        <v>33891.629999999997</v>
      </c>
      <c r="D42">
        <v>34435.519999999997</v>
      </c>
      <c r="E42">
        <v>35299.39</v>
      </c>
      <c r="F42">
        <v>35451.730000000003</v>
      </c>
      <c r="G42">
        <v>37217.72</v>
      </c>
      <c r="H42">
        <v>37923.74</v>
      </c>
      <c r="I42">
        <v>41470.050000000003</v>
      </c>
      <c r="J42">
        <v>42599.31</v>
      </c>
      <c r="K42">
        <v>45529.19</v>
      </c>
    </row>
    <row r="43" spans="1:11" s="6" customFormat="1" x14ac:dyDescent="0.3">
      <c r="A43" s="6" t="s">
        <v>7</v>
      </c>
      <c r="B43">
        <v>26797.919999999998</v>
      </c>
      <c r="C43">
        <v>27642.400000000001</v>
      </c>
      <c r="D43">
        <v>28705.94</v>
      </c>
      <c r="E43">
        <v>29075.41</v>
      </c>
      <c r="F43">
        <v>28847.82</v>
      </c>
      <c r="G43">
        <v>29974.6</v>
      </c>
      <c r="H43">
        <v>30790.34</v>
      </c>
      <c r="I43">
        <v>33239.32</v>
      </c>
      <c r="J43">
        <v>34688.370000000003</v>
      </c>
      <c r="K43">
        <v>37301.39</v>
      </c>
    </row>
    <row r="44" spans="1:11" s="6" customFormat="1" x14ac:dyDescent="0.3">
      <c r="A44" s="6" t="s">
        <v>9</v>
      </c>
      <c r="B44">
        <v>661.74</v>
      </c>
      <c r="C44">
        <v>1065</v>
      </c>
      <c r="D44">
        <v>811.95</v>
      </c>
      <c r="E44">
        <v>755.69</v>
      </c>
      <c r="F44">
        <v>750.44</v>
      </c>
      <c r="G44">
        <v>733.21</v>
      </c>
      <c r="H44">
        <v>1125.57</v>
      </c>
      <c r="I44">
        <v>718.59</v>
      </c>
      <c r="J44">
        <v>1141.0999999999999</v>
      </c>
      <c r="K44">
        <v>1395.06</v>
      </c>
    </row>
    <row r="45" spans="1:11" s="6" customFormat="1" x14ac:dyDescent="0.3">
      <c r="A45" s="6" t="s">
        <v>10</v>
      </c>
      <c r="B45">
        <v>1194.4000000000001</v>
      </c>
      <c r="C45">
        <v>1127.5</v>
      </c>
      <c r="D45">
        <v>1138.6400000000001</v>
      </c>
      <c r="E45">
        <v>1122.5899999999999</v>
      </c>
      <c r="F45">
        <v>1335.05</v>
      </c>
      <c r="G45">
        <v>1247.77</v>
      </c>
      <c r="H45">
        <v>1301.99</v>
      </c>
      <c r="I45">
        <v>1495.17</v>
      </c>
      <c r="J45">
        <v>2028.72</v>
      </c>
      <c r="K45">
        <v>1547.56</v>
      </c>
    </row>
    <row r="46" spans="1:11" s="6" customFormat="1" x14ac:dyDescent="0.3">
      <c r="A46" s="6" t="s">
        <v>11</v>
      </c>
      <c r="B46">
        <v>1633.56</v>
      </c>
      <c r="C46">
        <v>1718.84</v>
      </c>
      <c r="D46">
        <v>1835.19</v>
      </c>
      <c r="E46">
        <v>1944.88</v>
      </c>
      <c r="F46">
        <v>1989.3</v>
      </c>
      <c r="G46">
        <v>2107.69</v>
      </c>
      <c r="H46">
        <v>2217.02</v>
      </c>
      <c r="I46">
        <v>2362.16</v>
      </c>
      <c r="J46">
        <v>2396.52</v>
      </c>
      <c r="K46">
        <v>2431.19</v>
      </c>
    </row>
    <row r="47" spans="1:11" s="6" customFormat="1" x14ac:dyDescent="0.3">
      <c r="A47" s="6" t="s">
        <v>12</v>
      </c>
      <c r="B47">
        <v>3491.51</v>
      </c>
      <c r="C47">
        <v>4467.8900000000003</v>
      </c>
      <c r="D47">
        <v>3567.7</v>
      </c>
      <c r="E47">
        <v>3912.2</v>
      </c>
      <c r="F47">
        <v>4030</v>
      </c>
      <c r="G47">
        <v>4620.87</v>
      </c>
      <c r="H47">
        <v>4739.96</v>
      </c>
      <c r="I47">
        <v>5091.99</v>
      </c>
      <c r="J47">
        <v>4626.8</v>
      </c>
      <c r="K47">
        <v>5644.11</v>
      </c>
    </row>
    <row r="48" spans="1:11" s="6" customFormat="1" x14ac:dyDescent="0.3">
      <c r="A48" s="6" t="s">
        <v>13</v>
      </c>
      <c r="B48">
        <v>493.14</v>
      </c>
      <c r="C48">
        <v>784.02</v>
      </c>
      <c r="D48">
        <v>1083.73</v>
      </c>
      <c r="E48">
        <v>935.16</v>
      </c>
      <c r="F48">
        <v>905.06</v>
      </c>
      <c r="G48">
        <v>1075.0899999999999</v>
      </c>
      <c r="H48">
        <v>1378.9</v>
      </c>
      <c r="I48">
        <v>1467.51</v>
      </c>
      <c r="J48">
        <v>1084.95</v>
      </c>
      <c r="K48">
        <v>1267.53</v>
      </c>
    </row>
    <row r="49" spans="1:11" s="6" customFormat="1" x14ac:dyDescent="0.3">
      <c r="A49" s="6" t="s">
        <v>14</v>
      </c>
      <c r="B49">
        <v>2636.67</v>
      </c>
      <c r="C49">
        <v>3508.41</v>
      </c>
      <c r="D49">
        <v>2347.75</v>
      </c>
      <c r="E49">
        <v>2658.4</v>
      </c>
      <c r="F49">
        <v>2754.08</v>
      </c>
      <c r="G49">
        <v>3282.63</v>
      </c>
      <c r="H49">
        <v>3170.72</v>
      </c>
      <c r="I49">
        <v>3180.58</v>
      </c>
      <c r="J49">
        <v>3295.17</v>
      </c>
      <c r="K49">
        <v>4083.32</v>
      </c>
    </row>
    <row r="50" spans="1:11" x14ac:dyDescent="0.3">
      <c r="A50" s="6" t="s">
        <v>8</v>
      </c>
      <c r="B50">
        <v>5657.73</v>
      </c>
      <c r="C50">
        <v>6249.23</v>
      </c>
      <c r="D50">
        <v>5729.58</v>
      </c>
      <c r="E50">
        <v>6223.98</v>
      </c>
      <c r="F50">
        <v>6603.91</v>
      </c>
      <c r="G50">
        <v>7243.12</v>
      </c>
      <c r="H50">
        <v>7133.4</v>
      </c>
      <c r="I50">
        <v>8230.73</v>
      </c>
      <c r="J50">
        <v>7910.94</v>
      </c>
      <c r="K50">
        <v>8227.7999999999993</v>
      </c>
    </row>
    <row r="51" spans="1:11" x14ac:dyDescent="0.3">
      <c r="A51" s="6"/>
    </row>
    <row r="52" spans="1:11" x14ac:dyDescent="0.3">
      <c r="A52" s="6"/>
    </row>
    <row r="53" spans="1:11" x14ac:dyDescent="0.3">
      <c r="A53" s="6"/>
    </row>
    <row r="54" spans="1:11" x14ac:dyDescent="0.3">
      <c r="A54" s="6"/>
    </row>
    <row r="55" spans="1:11" x14ac:dyDescent="0.3">
      <c r="A55" s="1" t="s">
        <v>40</v>
      </c>
    </row>
    <row r="56" spans="1:11" s="18" customFormat="1" x14ac:dyDescent="0.3">
      <c r="A56" s="17" t="s">
        <v>38</v>
      </c>
      <c r="B56" s="12">
        <v>42460</v>
      </c>
      <c r="C56" s="12">
        <v>42825</v>
      </c>
      <c r="D56" s="12">
        <v>43190</v>
      </c>
      <c r="E56" s="12">
        <v>43555</v>
      </c>
      <c r="F56" s="12">
        <v>43921</v>
      </c>
      <c r="G56" s="12">
        <v>44286</v>
      </c>
      <c r="H56" s="12">
        <v>44651</v>
      </c>
      <c r="I56" s="12">
        <v>45016</v>
      </c>
      <c r="J56" s="12">
        <v>45382</v>
      </c>
      <c r="K56" s="12">
        <v>45747</v>
      </c>
    </row>
    <row r="57" spans="1:11" x14ac:dyDescent="0.3">
      <c r="A57" s="6" t="s">
        <v>24</v>
      </c>
      <c r="B57">
        <v>270.39999999999998</v>
      </c>
      <c r="C57">
        <v>310.55</v>
      </c>
      <c r="D57">
        <v>543.13</v>
      </c>
      <c r="E57">
        <v>543.96</v>
      </c>
      <c r="F57">
        <v>554.28</v>
      </c>
      <c r="G57">
        <v>555.15</v>
      </c>
      <c r="H57">
        <v>556.05999999999995</v>
      </c>
      <c r="I57">
        <v>556.82000000000005</v>
      </c>
      <c r="J57">
        <v>557.38</v>
      </c>
      <c r="K57">
        <v>558.15</v>
      </c>
    </row>
    <row r="58" spans="1:11" x14ac:dyDescent="0.3">
      <c r="A58" s="6" t="s">
        <v>25</v>
      </c>
      <c r="B58">
        <v>26222.25</v>
      </c>
      <c r="C58">
        <v>29467.1</v>
      </c>
      <c r="D58">
        <v>36232.06</v>
      </c>
      <c r="E58">
        <v>39439.449999999997</v>
      </c>
      <c r="F58">
        <v>39415.03</v>
      </c>
      <c r="G58">
        <v>41026.769999999997</v>
      </c>
      <c r="H58">
        <v>46566.58</v>
      </c>
      <c r="I58">
        <v>55808.97</v>
      </c>
      <c r="J58">
        <v>65633.17</v>
      </c>
      <c r="K58">
        <v>76480.710000000006</v>
      </c>
    </row>
    <row r="59" spans="1:11" x14ac:dyDescent="0.3">
      <c r="A59" s="6" t="s">
        <v>62</v>
      </c>
      <c r="B59">
        <v>41552.93</v>
      </c>
      <c r="C59">
        <v>48761.91</v>
      </c>
      <c r="D59">
        <v>55897.919999999998</v>
      </c>
      <c r="E59">
        <v>70848.3</v>
      </c>
      <c r="F59">
        <v>82092.28</v>
      </c>
      <c r="G59">
        <v>80624.83</v>
      </c>
      <c r="H59">
        <v>77605.210000000006</v>
      </c>
      <c r="I59">
        <v>92246.85</v>
      </c>
      <c r="J59">
        <v>108647.25</v>
      </c>
      <c r="K59">
        <v>129024.58</v>
      </c>
    </row>
    <row r="60" spans="1:11" x14ac:dyDescent="0.3">
      <c r="A60" s="6" t="s">
        <v>63</v>
      </c>
      <c r="B60">
        <v>31806.240000000002</v>
      </c>
      <c r="C60">
        <v>35295.919999999998</v>
      </c>
      <c r="D60">
        <v>43696.2</v>
      </c>
      <c r="E60">
        <v>51056.95</v>
      </c>
      <c r="F60">
        <v>43654.54</v>
      </c>
      <c r="G60">
        <v>42761.58</v>
      </c>
      <c r="H60">
        <v>47660.639999999999</v>
      </c>
      <c r="I60">
        <v>55670.49</v>
      </c>
      <c r="J60">
        <v>59883.94</v>
      </c>
      <c r="K60">
        <v>69949.72</v>
      </c>
    </row>
    <row r="61" spans="1:11" s="1" customFormat="1" x14ac:dyDescent="0.3">
      <c r="A61" s="1" t="s">
        <v>26</v>
      </c>
      <c r="B61">
        <v>99851.82</v>
      </c>
      <c r="C61">
        <v>113835.48</v>
      </c>
      <c r="D61">
        <v>136369.31</v>
      </c>
      <c r="E61">
        <v>161888.66</v>
      </c>
      <c r="F61">
        <v>165716.13</v>
      </c>
      <c r="G61">
        <v>164968.32999999999</v>
      </c>
      <c r="H61">
        <v>172388.49</v>
      </c>
      <c r="I61">
        <v>204283.13</v>
      </c>
      <c r="J61">
        <v>234721.74</v>
      </c>
      <c r="K61">
        <v>276013.15999999997</v>
      </c>
    </row>
    <row r="62" spans="1:11" x14ac:dyDescent="0.3">
      <c r="A62" s="6" t="s">
        <v>27</v>
      </c>
      <c r="B62">
        <v>20584.71</v>
      </c>
      <c r="C62">
        <v>20989.01</v>
      </c>
      <c r="D62">
        <v>26181.9</v>
      </c>
      <c r="E62">
        <v>28982.74</v>
      </c>
      <c r="F62">
        <v>29689.27</v>
      </c>
      <c r="G62">
        <v>21379.68</v>
      </c>
      <c r="H62">
        <v>26018.49</v>
      </c>
      <c r="I62">
        <v>27139.98</v>
      </c>
      <c r="J62">
        <v>28129.41</v>
      </c>
      <c r="K62">
        <v>34636.36</v>
      </c>
    </row>
    <row r="63" spans="1:11" x14ac:dyDescent="0.3">
      <c r="A63" s="6" t="s">
        <v>28</v>
      </c>
      <c r="B63">
        <v>2371.35</v>
      </c>
      <c r="C63">
        <v>4278.9399999999996</v>
      </c>
      <c r="D63">
        <v>4269.47</v>
      </c>
      <c r="E63">
        <v>4759.84</v>
      </c>
      <c r="F63">
        <v>6856.48</v>
      </c>
      <c r="G63">
        <v>7872.61</v>
      </c>
      <c r="H63">
        <v>6702.81</v>
      </c>
      <c r="I63">
        <v>3968.58</v>
      </c>
      <c r="J63">
        <v>8039.3</v>
      </c>
      <c r="K63">
        <v>8297.64</v>
      </c>
    </row>
    <row r="64" spans="1:11" x14ac:dyDescent="0.3">
      <c r="A64" s="6" t="s">
        <v>29</v>
      </c>
      <c r="B64">
        <v>11602.58</v>
      </c>
      <c r="C64">
        <v>14662.44</v>
      </c>
      <c r="D64">
        <v>16017.61</v>
      </c>
      <c r="E64">
        <v>18268.099999999999</v>
      </c>
      <c r="F64">
        <v>19210.34</v>
      </c>
      <c r="G64">
        <v>28777.66</v>
      </c>
      <c r="H64">
        <v>30060.43</v>
      </c>
      <c r="I64">
        <v>35272.42</v>
      </c>
      <c r="J64">
        <v>35208.1</v>
      </c>
      <c r="K64">
        <v>41308.57</v>
      </c>
    </row>
    <row r="65" spans="1:11" x14ac:dyDescent="0.3">
      <c r="A65" s="6" t="s">
        <v>64</v>
      </c>
      <c r="B65">
        <v>65293.18</v>
      </c>
      <c r="C65">
        <v>73905.09</v>
      </c>
      <c r="D65">
        <v>89900.33</v>
      </c>
      <c r="E65">
        <v>109877.98</v>
      </c>
      <c r="F65">
        <v>109960.04</v>
      </c>
      <c r="G65">
        <v>106938.38</v>
      </c>
      <c r="H65">
        <v>109606.76</v>
      </c>
      <c r="I65">
        <v>137902.15</v>
      </c>
      <c r="J65">
        <v>163344.93</v>
      </c>
      <c r="K65">
        <v>191770.59</v>
      </c>
    </row>
    <row r="66" spans="1:11" s="1" customFormat="1" x14ac:dyDescent="0.3">
      <c r="A66" s="1" t="s">
        <v>26</v>
      </c>
      <c r="B66">
        <v>99851.82</v>
      </c>
      <c r="C66">
        <v>113835.48</v>
      </c>
      <c r="D66">
        <v>136369.31</v>
      </c>
      <c r="E66">
        <v>161888.66</v>
      </c>
      <c r="F66">
        <v>165716.13</v>
      </c>
      <c r="G66">
        <v>164968.32999999999</v>
      </c>
      <c r="H66">
        <v>172388.49</v>
      </c>
      <c r="I66">
        <v>204283.13</v>
      </c>
      <c r="J66">
        <v>234721.74</v>
      </c>
      <c r="K66">
        <v>276013.15999999997</v>
      </c>
    </row>
    <row r="67" spans="1:11" s="6" customFormat="1" x14ac:dyDescent="0.3">
      <c r="A67" s="6" t="s">
        <v>69</v>
      </c>
      <c r="B67">
        <v>5817.6</v>
      </c>
      <c r="C67">
        <v>7199.26</v>
      </c>
      <c r="D67">
        <v>8489.82</v>
      </c>
      <c r="E67">
        <v>8677.89</v>
      </c>
      <c r="F67">
        <v>6928.28</v>
      </c>
      <c r="G67">
        <v>6007.76</v>
      </c>
      <c r="H67">
        <v>6373.95</v>
      </c>
      <c r="I67">
        <v>7028.02</v>
      </c>
      <c r="J67">
        <v>7459.4</v>
      </c>
      <c r="K67">
        <v>8279.7000000000007</v>
      </c>
    </row>
    <row r="68" spans="1:11" x14ac:dyDescent="0.3">
      <c r="A68" s="6" t="s">
        <v>45</v>
      </c>
      <c r="B68">
        <v>9116.1200000000008</v>
      </c>
      <c r="C68">
        <v>8886.01</v>
      </c>
      <c r="D68">
        <v>9335.57</v>
      </c>
      <c r="E68">
        <v>12200.16</v>
      </c>
      <c r="F68">
        <v>11111.86</v>
      </c>
      <c r="G68">
        <v>9615.41</v>
      </c>
      <c r="H68">
        <v>11595.82</v>
      </c>
      <c r="I68">
        <v>16854.97</v>
      </c>
      <c r="J68">
        <v>18590.47</v>
      </c>
      <c r="K68">
        <v>20330.93</v>
      </c>
    </row>
    <row r="69" spans="1:11" x14ac:dyDescent="0.3">
      <c r="A69" s="4" t="s">
        <v>78</v>
      </c>
      <c r="B69">
        <v>4527.55</v>
      </c>
      <c r="C69">
        <v>4654.03</v>
      </c>
      <c r="D69">
        <v>6547.6</v>
      </c>
      <c r="E69">
        <v>8734.91</v>
      </c>
      <c r="F69">
        <v>7910.9</v>
      </c>
      <c r="G69">
        <v>12851.99</v>
      </c>
      <c r="H69">
        <v>11117.61</v>
      </c>
      <c r="I69">
        <v>11273.43</v>
      </c>
      <c r="J69">
        <v>12012.75</v>
      </c>
      <c r="K69">
        <v>20614.84</v>
      </c>
    </row>
    <row r="70" spans="1:11" x14ac:dyDescent="0.3">
      <c r="A70" s="4" t="s">
        <v>65</v>
      </c>
      <c r="B70">
        <v>592633807</v>
      </c>
      <c r="C70">
        <v>621092384</v>
      </c>
      <c r="D70">
        <v>1243192544</v>
      </c>
      <c r="E70">
        <v>1243192544</v>
      </c>
      <c r="F70">
        <v>1243192544</v>
      </c>
      <c r="G70">
        <v>1110297953</v>
      </c>
      <c r="H70">
        <v>1112130815</v>
      </c>
      <c r="I70">
        <v>1198118224</v>
      </c>
      <c r="J70">
        <v>1114775772</v>
      </c>
      <c r="K70">
        <v>1116313361</v>
      </c>
    </row>
    <row r="71" spans="1:11" x14ac:dyDescent="0.3">
      <c r="A71" s="4" t="s">
        <v>66</v>
      </c>
      <c r="D71">
        <v>621596272</v>
      </c>
    </row>
    <row r="72" spans="1:11" x14ac:dyDescent="0.3">
      <c r="A72" s="4" t="s">
        <v>79</v>
      </c>
      <c r="B72">
        <v>5</v>
      </c>
      <c r="C72">
        <v>5</v>
      </c>
      <c r="D72">
        <v>5</v>
      </c>
      <c r="E72">
        <v>5</v>
      </c>
      <c r="F72">
        <v>5</v>
      </c>
      <c r="G72">
        <v>5</v>
      </c>
      <c r="H72">
        <v>5</v>
      </c>
      <c r="I72">
        <v>5</v>
      </c>
      <c r="J72">
        <v>5</v>
      </c>
      <c r="K72">
        <v>5</v>
      </c>
    </row>
    <row r="74" spans="1:11" x14ac:dyDescent="0.3">
      <c r="A74" s="6"/>
    </row>
    <row r="75" spans="1:11" x14ac:dyDescent="0.3">
      <c r="A75" s="6"/>
    </row>
    <row r="76" spans="1:11" x14ac:dyDescent="0.3">
      <c r="A76" s="6"/>
    </row>
    <row r="77" spans="1:11" x14ac:dyDescent="0.3">
      <c r="A77" s="6"/>
    </row>
    <row r="78" spans="1:11" x14ac:dyDescent="0.3">
      <c r="A78" s="6"/>
    </row>
    <row r="79" spans="1:11" x14ac:dyDescent="0.3">
      <c r="A79" s="6"/>
    </row>
    <row r="80" spans="1:11" x14ac:dyDescent="0.3">
      <c r="A80" s="1" t="s">
        <v>41</v>
      </c>
    </row>
    <row r="81" spans="1:11" s="18" customFormat="1" x14ac:dyDescent="0.3">
      <c r="A81" s="17" t="s">
        <v>38</v>
      </c>
      <c r="B81" s="12">
        <v>42460</v>
      </c>
      <c r="C81" s="12">
        <v>42825</v>
      </c>
      <c r="D81" s="12">
        <v>43190</v>
      </c>
      <c r="E81" s="12">
        <v>43555</v>
      </c>
      <c r="F81" s="12">
        <v>43921</v>
      </c>
      <c r="G81" s="12">
        <v>44286</v>
      </c>
      <c r="H81" s="12">
        <v>44651</v>
      </c>
      <c r="I81" s="12">
        <v>45016</v>
      </c>
      <c r="J81" s="12">
        <v>45382</v>
      </c>
      <c r="K81" s="12">
        <v>45747</v>
      </c>
    </row>
    <row r="82" spans="1:11" s="1" customFormat="1" x14ac:dyDescent="0.3">
      <c r="A82" s="6" t="s">
        <v>32</v>
      </c>
      <c r="B82">
        <v>2384.7600000000002</v>
      </c>
      <c r="C82">
        <v>183.09</v>
      </c>
      <c r="D82">
        <v>681.86</v>
      </c>
      <c r="E82">
        <v>-4347.29</v>
      </c>
      <c r="F82">
        <v>-1456.93</v>
      </c>
      <c r="G82">
        <v>17908.830000000002</v>
      </c>
      <c r="H82">
        <v>9247.5499999999993</v>
      </c>
      <c r="I82">
        <v>-7074.02</v>
      </c>
      <c r="J82">
        <v>-5629.95</v>
      </c>
      <c r="K82">
        <v>3175.81</v>
      </c>
    </row>
    <row r="83" spans="1:11" s="6" customFormat="1" x14ac:dyDescent="0.3">
      <c r="A83" s="6" t="s">
        <v>33</v>
      </c>
      <c r="B83">
        <v>-5505.97</v>
      </c>
      <c r="C83">
        <v>-5875.29</v>
      </c>
      <c r="D83">
        <v>-5467.22</v>
      </c>
      <c r="E83">
        <v>-7173.97</v>
      </c>
      <c r="F83">
        <v>-6869.79</v>
      </c>
      <c r="G83">
        <v>-19685.5</v>
      </c>
      <c r="H83">
        <v>-3251.95</v>
      </c>
      <c r="I83">
        <v>-8866.27</v>
      </c>
      <c r="J83">
        <v>-5614.77</v>
      </c>
      <c r="K83">
        <v>-18616.13</v>
      </c>
    </row>
    <row r="84" spans="1:11" s="6" customFormat="1" x14ac:dyDescent="0.3">
      <c r="A84" s="6" t="s">
        <v>34</v>
      </c>
      <c r="B84">
        <v>2966.81</v>
      </c>
      <c r="C84">
        <v>6107.97</v>
      </c>
      <c r="D84">
        <v>6314.5</v>
      </c>
      <c r="E84">
        <v>13193.63</v>
      </c>
      <c r="F84">
        <v>6932.75</v>
      </c>
      <c r="G84">
        <v>406.23</v>
      </c>
      <c r="H84">
        <v>-5882.6</v>
      </c>
      <c r="I84">
        <v>15946.11</v>
      </c>
      <c r="J84">
        <v>12281.41</v>
      </c>
      <c r="K84">
        <v>15834.11</v>
      </c>
    </row>
    <row r="85" spans="1:11" s="1" customFormat="1" x14ac:dyDescent="0.3">
      <c r="A85" s="6" t="s">
        <v>35</v>
      </c>
      <c r="B85">
        <v>-154.4</v>
      </c>
      <c r="C85">
        <v>415.77</v>
      </c>
      <c r="D85">
        <v>1529.14</v>
      </c>
      <c r="E85">
        <v>1672.37</v>
      </c>
      <c r="F85">
        <v>-1393.97</v>
      </c>
      <c r="G85">
        <v>-1370.44</v>
      </c>
      <c r="H85">
        <v>113</v>
      </c>
      <c r="I85">
        <v>5.82</v>
      </c>
      <c r="J85">
        <v>1036.69</v>
      </c>
      <c r="K85">
        <v>393.79</v>
      </c>
    </row>
    <row r="86" spans="1:11" x14ac:dyDescent="0.3">
      <c r="A86" s="6"/>
    </row>
    <row r="87" spans="1:11" x14ac:dyDescent="0.3">
      <c r="A87" s="6"/>
    </row>
    <row r="88" spans="1:11" x14ac:dyDescent="0.3">
      <c r="A88" s="6"/>
    </row>
    <row r="89" spans="1:11" x14ac:dyDescent="0.3">
      <c r="A89" s="6"/>
    </row>
    <row r="90" spans="1:11" s="1" customFormat="1" x14ac:dyDescent="0.3">
      <c r="A90" s="1" t="s">
        <v>68</v>
      </c>
      <c r="B90">
        <v>605.35</v>
      </c>
      <c r="C90">
        <v>643.45000000000005</v>
      </c>
      <c r="D90">
        <v>738.9</v>
      </c>
      <c r="E90">
        <v>673.9</v>
      </c>
      <c r="F90">
        <v>284.95</v>
      </c>
      <c r="G90">
        <v>795.25</v>
      </c>
      <c r="H90">
        <v>806.55</v>
      </c>
      <c r="I90">
        <v>1158.7</v>
      </c>
      <c r="J90">
        <v>1921.35</v>
      </c>
      <c r="K90">
        <v>2665.8</v>
      </c>
    </row>
    <row r="92" spans="1:11" s="1" customFormat="1" x14ac:dyDescent="0.3">
      <c r="A92" s="1" t="s">
        <v>67</v>
      </c>
    </row>
    <row r="93" spans="1:11" x14ac:dyDescent="0.3">
      <c r="A93" s="4" t="s">
        <v>80</v>
      </c>
      <c r="B93" s="20">
        <v>124.22</v>
      </c>
      <c r="C93" s="20">
        <v>124.22</v>
      </c>
      <c r="D93" s="20">
        <v>124.32</v>
      </c>
      <c r="E93" s="20">
        <v>124.32</v>
      </c>
      <c r="F93" s="20">
        <v>124.32</v>
      </c>
      <c r="G93" s="20">
        <v>124.32</v>
      </c>
      <c r="H93" s="20">
        <v>124.32</v>
      </c>
      <c r="I93" s="20">
        <v>124.35</v>
      </c>
      <c r="J93" s="20">
        <v>124.35</v>
      </c>
      <c r="K93" s="20">
        <v>124.35</v>
      </c>
    </row>
  </sheetData>
  <mergeCells count="2">
    <mergeCell ref="E1:K1"/>
    <mergeCell ref="E2:K2"/>
  </mergeCells>
  <conditionalFormatting sqref="E1:K1">
    <cfRule type="cellIs" dxfId="0" priority="1" operator="notEqual">
      <formula>""</formula>
    </cfRule>
  </conditionalFormatting>
  <hyperlinks>
    <hyperlink ref="E1:K1" r:id="rId1" display="https://www.screener.in/excel/" xr:uid="{00000000-0004-0000-05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Dupont  Analysis</vt:lpstr>
      <vt:lpstr>Profit &amp; Loss</vt:lpstr>
      <vt:lpstr>Quarters</vt:lpstr>
      <vt:lpstr>Balance Sheet</vt:lpstr>
      <vt:lpstr>Cash Flow</vt:lpstr>
      <vt:lpstr>Data Sheet</vt:lpstr>
      <vt:lpstr>'Dupont  Analysis'!Print_Area</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Anvay Gulwe</cp:lastModifiedBy>
  <cp:lastPrinted>2025-10-28T11:04:42Z</cp:lastPrinted>
  <dcterms:created xsi:type="dcterms:W3CDTF">2012-08-17T09:55:37Z</dcterms:created>
  <dcterms:modified xsi:type="dcterms:W3CDTF">2025-10-28T11:04:45Z</dcterms:modified>
</cp:coreProperties>
</file>