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vay\Downloads\"/>
    </mc:Choice>
  </mc:AlternateContent>
  <xr:revisionPtr revIDLastSave="0" documentId="13_ncr:1_{D70D1EDE-0B51-4F1E-A6CF-70355510BF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BO" sheetId="7" r:id="rId1"/>
    <sheet name="DATA Info" sheetId="8" r:id="rId2"/>
    <sheet name="Profit &amp; Loss" sheetId="1" r:id="rId3"/>
    <sheet name="Data Sheet" sheetId="6" r:id="rId4"/>
  </sheets>
  <definedNames>
    <definedName name="_xlnm.Print_Area" localSheetId="0">LBO!$A$1:$P$132</definedName>
    <definedName name="UPDATE">'Data Sheet'!$E$1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06" i="7" l="1"/>
  <c r="P33" i="7"/>
  <c r="P32" i="7"/>
  <c r="P128" i="7"/>
  <c r="P131" i="7"/>
  <c r="P55" i="7"/>
  <c r="P122" i="7"/>
  <c r="P124" i="7"/>
  <c r="P126" i="7" s="1"/>
  <c r="P130" i="7" s="1"/>
  <c r="P125" i="7"/>
  <c r="P28" i="7"/>
  <c r="P27" i="7"/>
  <c r="K83" i="7"/>
  <c r="D24" i="8"/>
  <c r="G23" i="8"/>
  <c r="L68" i="7"/>
  <c r="M68" i="7" s="1"/>
  <c r="N68" i="7" s="1"/>
  <c r="O68" i="7" s="1"/>
  <c r="P68" i="7" s="1"/>
  <c r="K50" i="7" l="1"/>
  <c r="L50" i="7" s="1"/>
  <c r="M50" i="7" s="1"/>
  <c r="N50" i="7" s="1"/>
  <c r="O50" i="7" s="1"/>
  <c r="P50" i="7" s="1"/>
  <c r="P21" i="7"/>
  <c r="N39" i="7"/>
  <c r="O39" i="7" s="1"/>
  <c r="E41" i="7"/>
  <c r="F41" i="7" s="1"/>
  <c r="E40" i="7"/>
  <c r="K112" i="7" s="1"/>
  <c r="L109" i="7" s="1"/>
  <c r="L110" i="7" s="1"/>
  <c r="E39" i="7"/>
  <c r="K103" i="7" s="1"/>
  <c r="L100" i="7" s="1"/>
  <c r="F13" i="7"/>
  <c r="K55" i="7" s="1"/>
  <c r="P14" i="7"/>
  <c r="P13" i="7"/>
  <c r="P18" i="7" s="1"/>
  <c r="L101" i="7" l="1"/>
  <c r="L116" i="7" s="1"/>
  <c r="L62" i="7" s="1"/>
  <c r="L115" i="7"/>
  <c r="E42" i="7"/>
  <c r="F39" i="7"/>
  <c r="F40" i="7"/>
  <c r="P15" i="7"/>
  <c r="P19" i="7"/>
  <c r="P24" i="7" s="1"/>
  <c r="F42" i="7" l="1"/>
  <c r="N40" i="7"/>
  <c r="P25" i="7"/>
  <c r="N41" i="7" s="1"/>
  <c r="O41" i="7" s="1"/>
  <c r="N46" i="7" l="1"/>
  <c r="P40" i="7" s="1"/>
  <c r="P41" i="7"/>
  <c r="O40" i="7"/>
  <c r="O46" i="7" s="1"/>
  <c r="E46" i="7" l="1"/>
  <c r="P39" i="7"/>
  <c r="P46" i="7" s="1"/>
  <c r="E44" i="7" l="1"/>
  <c r="G44" i="7" s="1"/>
  <c r="G41" i="7"/>
  <c r="G40" i="7"/>
  <c r="G39" i="7"/>
  <c r="G42" i="7" l="1"/>
  <c r="F44" i="7"/>
  <c r="F46" i="7" s="1"/>
  <c r="G46" i="7" l="1"/>
  <c r="F26" i="7"/>
  <c r="F27" i="7"/>
  <c r="L80" i="7" s="1"/>
  <c r="F25" i="7"/>
  <c r="L56" i="7" s="1"/>
  <c r="M56" i="7" s="1"/>
  <c r="N56" i="7" s="1"/>
  <c r="O56" i="7" s="1"/>
  <c r="P56" i="7" s="1"/>
  <c r="B26" i="7"/>
  <c r="B27" i="7"/>
  <c r="B25" i="7"/>
  <c r="F23" i="7"/>
  <c r="L53" i="7" s="1"/>
  <c r="M53" i="7" s="1"/>
  <c r="N53" i="7" s="1"/>
  <c r="O53" i="7" s="1"/>
  <c r="P53" i="7" s="1"/>
  <c r="F17" i="7"/>
  <c r="K79" i="7" s="1"/>
  <c r="F16" i="7"/>
  <c r="K76" i="7" s="1"/>
  <c r="F15" i="7"/>
  <c r="F14" i="7"/>
  <c r="K52" i="7" s="1"/>
  <c r="K84" i="7" s="1"/>
  <c r="L84" i="7" s="1"/>
  <c r="M84" i="7" l="1"/>
  <c r="M80" i="7"/>
  <c r="K77" i="7"/>
  <c r="L77" i="7" s="1"/>
  <c r="K59" i="7"/>
  <c r="K60" i="7" s="1"/>
  <c r="L52" i="7"/>
  <c r="L83" i="7" s="1"/>
  <c r="L90" i="7" s="1"/>
  <c r="K56" i="7"/>
  <c r="E16" i="8"/>
  <c r="E15" i="8"/>
  <c r="K9" i="1"/>
  <c r="J9" i="1"/>
  <c r="I9" i="1"/>
  <c r="H9" i="1"/>
  <c r="G9" i="1"/>
  <c r="F9" i="1"/>
  <c r="E9" i="1"/>
  <c r="D9" i="1"/>
  <c r="C9" i="1"/>
  <c r="B9" i="1"/>
  <c r="C25" i="8"/>
  <c r="E24" i="8"/>
  <c r="G24" i="8"/>
  <c r="F24" i="8"/>
  <c r="C24" i="8"/>
  <c r="F23" i="8"/>
  <c r="E23" i="8"/>
  <c r="D23" i="8"/>
  <c r="C23" i="8"/>
  <c r="C7" i="1"/>
  <c r="D7" i="1"/>
  <c r="D8" i="1" s="1"/>
  <c r="D23" i="1" s="1"/>
  <c r="E7" i="1"/>
  <c r="F7" i="1"/>
  <c r="G7" i="1"/>
  <c r="H7" i="1"/>
  <c r="I7" i="1"/>
  <c r="J7" i="1"/>
  <c r="K7" i="1"/>
  <c r="B7" i="1"/>
  <c r="B6" i="6"/>
  <c r="L14" i="1"/>
  <c r="L15" i="1"/>
  <c r="L16" i="1"/>
  <c r="L17" i="1" s="1"/>
  <c r="C22" i="1"/>
  <c r="D22" i="1"/>
  <c r="E22" i="1"/>
  <c r="F22" i="1"/>
  <c r="G22" i="1"/>
  <c r="H22" i="1"/>
  <c r="I22" i="1"/>
  <c r="J22" i="1"/>
  <c r="K22" i="1"/>
  <c r="B22" i="1"/>
  <c r="C4" i="1"/>
  <c r="D4" i="1"/>
  <c r="D5" i="1" s="1"/>
  <c r="E4" i="1"/>
  <c r="F4" i="1"/>
  <c r="G4" i="1"/>
  <c r="H4" i="1"/>
  <c r="I4" i="1"/>
  <c r="J4" i="1"/>
  <c r="K4" i="1"/>
  <c r="C11" i="1"/>
  <c r="D11" i="1"/>
  <c r="E11" i="1"/>
  <c r="F11" i="1"/>
  <c r="G11" i="1"/>
  <c r="H11" i="1"/>
  <c r="I11" i="1"/>
  <c r="J11" i="1"/>
  <c r="K11" i="1"/>
  <c r="C12" i="1"/>
  <c r="D12" i="1"/>
  <c r="E12" i="1"/>
  <c r="F12" i="1"/>
  <c r="G12" i="1"/>
  <c r="H12" i="1"/>
  <c r="I12" i="1"/>
  <c r="J12" i="1"/>
  <c r="K12" i="1"/>
  <c r="C13" i="1"/>
  <c r="D13" i="1"/>
  <c r="E13" i="1"/>
  <c r="F13" i="1"/>
  <c r="G13" i="1"/>
  <c r="H13" i="1"/>
  <c r="I13" i="1"/>
  <c r="J13" i="1"/>
  <c r="K13" i="1"/>
  <c r="C14" i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J15" i="1"/>
  <c r="K15" i="1"/>
  <c r="C16" i="1"/>
  <c r="C17" i="1" s="1"/>
  <c r="D16" i="1"/>
  <c r="E16" i="1"/>
  <c r="F16" i="1"/>
  <c r="F17" i="1" s="1"/>
  <c r="G16" i="1"/>
  <c r="G17" i="1" s="1"/>
  <c r="H16" i="1"/>
  <c r="H17" i="1" s="1"/>
  <c r="I16" i="1"/>
  <c r="I17" i="1" s="1"/>
  <c r="J16" i="1"/>
  <c r="J17" i="1" s="1"/>
  <c r="K16" i="1"/>
  <c r="C19" i="1"/>
  <c r="D19" i="1"/>
  <c r="E19" i="1"/>
  <c r="F19" i="1"/>
  <c r="G19" i="1"/>
  <c r="H19" i="1"/>
  <c r="I19" i="1"/>
  <c r="J19" i="1"/>
  <c r="K19" i="1"/>
  <c r="B19" i="1"/>
  <c r="B11" i="1"/>
  <c r="B4" i="1"/>
  <c r="A1" i="1"/>
  <c r="E1" i="6"/>
  <c r="H1" i="1" s="1"/>
  <c r="C3" i="1"/>
  <c r="D3" i="1"/>
  <c r="E3" i="1"/>
  <c r="F3" i="1"/>
  <c r="G3" i="1"/>
  <c r="H3" i="1"/>
  <c r="I3" i="1"/>
  <c r="J3" i="1"/>
  <c r="K3" i="1"/>
  <c r="L19" i="1"/>
  <c r="B16" i="1"/>
  <c r="B17" i="1" s="1"/>
  <c r="B15" i="1"/>
  <c r="B14" i="1"/>
  <c r="B13" i="1"/>
  <c r="B12" i="1"/>
  <c r="B3" i="1"/>
  <c r="L8" i="1"/>
  <c r="L4" i="1"/>
  <c r="L7" i="1"/>
  <c r="L79" i="7" l="1"/>
  <c r="L81" i="7" s="1"/>
  <c r="L91" i="7" s="1"/>
  <c r="N84" i="7"/>
  <c r="M77" i="7"/>
  <c r="L76" i="7"/>
  <c r="L89" i="7" s="1"/>
  <c r="N80" i="7"/>
  <c r="L55" i="7"/>
  <c r="L59" i="7" s="1"/>
  <c r="M52" i="7"/>
  <c r="M83" i="7" s="1"/>
  <c r="M90" i="7" s="1"/>
  <c r="F5" i="1"/>
  <c r="J5" i="1"/>
  <c r="G5" i="1"/>
  <c r="E5" i="1"/>
  <c r="K5" i="1"/>
  <c r="H5" i="1"/>
  <c r="E8" i="1"/>
  <c r="E23" i="1" s="1"/>
  <c r="C5" i="1"/>
  <c r="I5" i="1"/>
  <c r="J8" i="1"/>
  <c r="J23" i="1" s="1"/>
  <c r="L27" i="1"/>
  <c r="L18" i="1"/>
  <c r="L29" i="1" s="1"/>
  <c r="C18" i="1"/>
  <c r="K17" i="1"/>
  <c r="K18" i="1" s="1"/>
  <c r="I18" i="1"/>
  <c r="F18" i="1"/>
  <c r="G8" i="1"/>
  <c r="G23" i="1" s="1"/>
  <c r="J18" i="1"/>
  <c r="N15" i="1"/>
  <c r="M15" i="1"/>
  <c r="G18" i="1"/>
  <c r="H27" i="1"/>
  <c r="C8" i="1"/>
  <c r="C23" i="1" s="1"/>
  <c r="J27" i="1"/>
  <c r="L23" i="1"/>
  <c r="L28" i="1" s="1"/>
  <c r="K8" i="1"/>
  <c r="K23" i="1" s="1"/>
  <c r="H18" i="1"/>
  <c r="D17" i="1"/>
  <c r="E17" i="1" s="1"/>
  <c r="E18" i="1" s="1"/>
  <c r="I27" i="1"/>
  <c r="B8" i="1"/>
  <c r="B23" i="1" s="1"/>
  <c r="L13" i="1"/>
  <c r="N13" i="1" s="1"/>
  <c r="L12" i="1"/>
  <c r="N12" i="1" s="1"/>
  <c r="L11" i="1"/>
  <c r="B18" i="1"/>
  <c r="I8" i="1"/>
  <c r="I23" i="1" s="1"/>
  <c r="K27" i="1"/>
  <c r="H8" i="1"/>
  <c r="H23" i="1" s="1"/>
  <c r="F8" i="1"/>
  <c r="F23" i="1" s="1"/>
  <c r="M13" i="1" l="1"/>
  <c r="L60" i="7"/>
  <c r="L64" i="7"/>
  <c r="M79" i="7"/>
  <c r="M81" i="7" s="1"/>
  <c r="M91" i="7" s="1"/>
  <c r="O80" i="7"/>
  <c r="N77" i="7"/>
  <c r="M76" i="7"/>
  <c r="M89" i="7" s="1"/>
  <c r="O84" i="7"/>
  <c r="M55" i="7"/>
  <c r="M59" i="7" s="1"/>
  <c r="N52" i="7"/>
  <c r="N79" i="7" s="1"/>
  <c r="I28" i="1"/>
  <c r="J28" i="1"/>
  <c r="M27" i="1"/>
  <c r="M4" i="1" s="1"/>
  <c r="K29" i="1"/>
  <c r="M29" i="1" s="1"/>
  <c r="M18" i="1" s="1"/>
  <c r="J29" i="1"/>
  <c r="K28" i="1"/>
  <c r="M28" i="1" s="1"/>
  <c r="M8" i="1" s="1"/>
  <c r="M12" i="1"/>
  <c r="I29" i="1"/>
  <c r="H28" i="1"/>
  <c r="N27" i="1"/>
  <c r="N4" i="1" s="1"/>
  <c r="D18" i="1"/>
  <c r="H29" i="1" s="1"/>
  <c r="M14" i="1" l="1"/>
  <c r="M16" i="1" s="1"/>
  <c r="M17" i="1" s="1"/>
  <c r="M19" i="1" s="1"/>
  <c r="M60" i="7"/>
  <c r="L65" i="7"/>
  <c r="L67" i="7"/>
  <c r="L70" i="7" s="1"/>
  <c r="N81" i="7"/>
  <c r="N91" i="7" s="1"/>
  <c r="N83" i="7"/>
  <c r="N90" i="7" s="1"/>
  <c r="O77" i="7"/>
  <c r="N76" i="7"/>
  <c r="N89" i="7" s="1"/>
  <c r="P84" i="7"/>
  <c r="P80" i="7"/>
  <c r="O52" i="7"/>
  <c r="O83" i="7" s="1"/>
  <c r="O90" i="7" s="1"/>
  <c r="N55" i="7"/>
  <c r="N28" i="1"/>
  <c r="N8" i="1"/>
  <c r="N14" i="1" s="1"/>
  <c r="N16" i="1" s="1"/>
  <c r="N17" i="1" s="1"/>
  <c r="N29" i="1"/>
  <c r="N18" i="1" s="1"/>
  <c r="M7" i="1"/>
  <c r="N7" i="1" l="1"/>
  <c r="N19" i="1"/>
  <c r="N59" i="7"/>
  <c r="L71" i="7"/>
  <c r="L88" i="7"/>
  <c r="L93" i="7" s="1"/>
  <c r="N60" i="7"/>
  <c r="O79" i="7"/>
  <c r="O81" i="7" s="1"/>
  <c r="O91" i="7" s="1"/>
  <c r="P77" i="7"/>
  <c r="O76" i="7"/>
  <c r="O89" i="7" s="1"/>
  <c r="P52" i="7"/>
  <c r="O55" i="7"/>
  <c r="O59" i="7" l="1"/>
  <c r="O60" i="7"/>
  <c r="L102" i="7"/>
  <c r="P76" i="7"/>
  <c r="P89" i="7" s="1"/>
  <c r="P79" i="7"/>
  <c r="P81" i="7" s="1"/>
  <c r="P91" i="7" s="1"/>
  <c r="P59" i="7"/>
  <c r="P83" i="7"/>
  <c r="P90" i="7" s="1"/>
  <c r="L103" i="7" l="1"/>
  <c r="M100" i="7" s="1"/>
  <c r="L106" i="7"/>
  <c r="L111" i="7" s="1"/>
  <c r="L112" i="7" s="1"/>
  <c r="P60" i="7"/>
  <c r="M101" i="7" l="1"/>
  <c r="L117" i="7" l="1"/>
  <c r="M109" i="7"/>
  <c r="M115" i="7" l="1"/>
  <c r="M110" i="7"/>
  <c r="M116" i="7" s="1"/>
  <c r="L118" i="7"/>
  <c r="M62" i="7" l="1"/>
  <c r="M64" i="7" s="1"/>
  <c r="M65" i="7" l="1"/>
  <c r="M67" i="7"/>
  <c r="M70" i="7" s="1"/>
  <c r="M88" i="7"/>
  <c r="M93" i="7" s="1"/>
  <c r="M71" i="7"/>
  <c r="M102" i="7" l="1"/>
  <c r="M103" i="7" s="1"/>
  <c r="M106" i="7"/>
  <c r="M111" i="7" l="1"/>
  <c r="M112" i="7" s="1"/>
  <c r="N109" i="7" s="1"/>
  <c r="N110" i="7" s="1"/>
  <c r="M117" i="7"/>
  <c r="N100" i="7" l="1"/>
  <c r="M118" i="7"/>
  <c r="N101" i="7" l="1"/>
  <c r="N116" i="7" s="1"/>
  <c r="N115" i="7"/>
  <c r="N62" i="7" l="1"/>
  <c r="N64" i="7" s="1"/>
  <c r="N65" i="7" l="1"/>
  <c r="N67" i="7"/>
  <c r="N70" i="7" s="1"/>
  <c r="N71" i="7" l="1"/>
  <c r="N88" i="7"/>
  <c r="N93" i="7" s="1"/>
  <c r="N102" i="7"/>
  <c r="N111" i="7"/>
  <c r="N112" i="7" l="1"/>
  <c r="O109" i="7" s="1"/>
  <c r="N117" i="7"/>
  <c r="O110" i="7"/>
  <c r="N103" i="7"/>
  <c r="O100" i="7" l="1"/>
  <c r="N118" i="7"/>
  <c r="O101" i="7" l="1"/>
  <c r="O116" i="7" s="1"/>
  <c r="O115" i="7"/>
  <c r="O62" i="7" l="1"/>
  <c r="O64" i="7" s="1"/>
  <c r="O65" i="7" l="1"/>
  <c r="O67" i="7"/>
  <c r="O70" i="7" s="1"/>
  <c r="O71" i="7" s="1"/>
  <c r="O88" i="7"/>
  <c r="O93" i="7" s="1"/>
  <c r="O102" i="7" l="1"/>
  <c r="O103" i="7" l="1"/>
  <c r="O106" i="7"/>
  <c r="O111" i="7" s="1"/>
  <c r="O112" i="7" s="1"/>
  <c r="P109" i="7" s="1"/>
  <c r="P100" i="7" l="1"/>
  <c r="O118" i="7"/>
  <c r="P110" i="7"/>
  <c r="O117" i="7"/>
  <c r="P101" i="7" l="1"/>
  <c r="P116" i="7" s="1"/>
  <c r="P115" i="7"/>
  <c r="P62" i="7" l="1"/>
  <c r="P64" i="7" s="1"/>
  <c r="P67" i="7" l="1"/>
  <c r="P70" i="7" s="1"/>
  <c r="P65" i="7"/>
  <c r="P88" i="7"/>
  <c r="P93" i="7" s="1"/>
  <c r="P71" i="7"/>
  <c r="P102" i="7" l="1"/>
  <c r="P106" i="7"/>
  <c r="P111" i="7" s="1"/>
  <c r="P112" i="7" s="1"/>
  <c r="P117" i="7" l="1"/>
  <c r="P103" i="7"/>
  <c r="P11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Anvay</author>
  </authors>
  <commentList>
    <comment ref="B32" authorId="0" shapeId="0" xr:uid="{A91DE73F-6BEC-46A8-8898-EFE85ADD6C51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Loan liya 23x by Ebitda
Aaur uksa Half half kiya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Anvay</author>
  </authors>
  <commentList>
    <comment ref="E13" authorId="0" shapeId="0" xr:uid="{CA623FE7-1978-4796-8C7B-BCCDB404D370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Last 4 year FY 21-25 CAGR</t>
        </r>
      </text>
    </comment>
  </commentList>
</comments>
</file>

<file path=xl/sharedStrings.xml><?xml version="1.0" encoding="utf-8"?>
<sst xmlns="http://schemas.openxmlformats.org/spreadsheetml/2006/main" count="230" uniqueCount="168">
  <si>
    <t>COMPANY NAME</t>
  </si>
  <si>
    <t>SCREENER.IN</t>
  </si>
  <si>
    <t>Narration</t>
  </si>
  <si>
    <t>Trailing</t>
  </si>
  <si>
    <t>Best Case</t>
  </si>
  <si>
    <t>Worst Case</t>
  </si>
  <si>
    <t>Sales</t>
  </si>
  <si>
    <t>Expenses</t>
  </si>
  <si>
    <t>Operating Profit</t>
  </si>
  <si>
    <t>Other Income</t>
  </si>
  <si>
    <t>Depreciation</t>
  </si>
  <si>
    <t>Interest</t>
  </si>
  <si>
    <t>Profit before tax</t>
  </si>
  <si>
    <t>Tax</t>
  </si>
  <si>
    <t>Net profit</t>
  </si>
  <si>
    <t>RATIOS:</t>
  </si>
  <si>
    <t>Price to earning</t>
  </si>
  <si>
    <t>Dividend Payout</t>
  </si>
  <si>
    <t>OPM</t>
  </si>
  <si>
    <t>TRENDS:</t>
  </si>
  <si>
    <t>BEST</t>
  </si>
  <si>
    <t>WORST</t>
  </si>
  <si>
    <t>Sales Growth</t>
  </si>
  <si>
    <t>Price to Earning</t>
  </si>
  <si>
    <t>Equity Share Capital</t>
  </si>
  <si>
    <t>Reserves</t>
  </si>
  <si>
    <t>Total</t>
  </si>
  <si>
    <t>Net Block</t>
  </si>
  <si>
    <t>Capital Work in Progress</t>
  </si>
  <si>
    <t>Investments</t>
  </si>
  <si>
    <t>Face Value</t>
  </si>
  <si>
    <t>Cash from Operating Activity</t>
  </si>
  <si>
    <t>Cash from Investing Activity</t>
  </si>
  <si>
    <t>Cash from Financing Activity</t>
  </si>
  <si>
    <t>Net Cash Flow</t>
  </si>
  <si>
    <t>PLEASE DO NOT MAKE ANY CHANGES TO THIS SHEET</t>
  </si>
  <si>
    <t>PROFIT &amp; LOSS</t>
  </si>
  <si>
    <t>Report Date</t>
  </si>
  <si>
    <t>Quarters</t>
  </si>
  <si>
    <t>BALANCE SHEET</t>
  </si>
  <si>
    <t>CASH FLOW:</t>
  </si>
  <si>
    <t>Number of shares</t>
  </si>
  <si>
    <t>Current Price</t>
  </si>
  <si>
    <t>Inventory</t>
  </si>
  <si>
    <t>EPS</t>
  </si>
  <si>
    <t>Price</t>
  </si>
  <si>
    <t>LATEST VERSION</t>
  </si>
  <si>
    <t>CURRENT VERSION</t>
  </si>
  <si>
    <t>BATA INDIA LTD</t>
  </si>
  <si>
    <t>META</t>
  </si>
  <si>
    <t>10 YEARS</t>
  </si>
  <si>
    <t>7 YEARS</t>
  </si>
  <si>
    <t>5 YEARS</t>
  </si>
  <si>
    <t>3 YEARS</t>
  </si>
  <si>
    <t>RECENT</t>
  </si>
  <si>
    <t>Dividend Amount</t>
  </si>
  <si>
    <t>Borrowings</t>
  </si>
  <si>
    <t>Other Liabilities</t>
  </si>
  <si>
    <t>Other Assets</t>
  </si>
  <si>
    <t>No. of Equity Shares</t>
  </si>
  <si>
    <t>New Bonus Shares</t>
  </si>
  <si>
    <t>DERIVED:</t>
  </si>
  <si>
    <t>PRICE:</t>
  </si>
  <si>
    <t>Receivables</t>
  </si>
  <si>
    <t>Market Capitalization</t>
  </si>
  <si>
    <t>Raw Material Cost</t>
  </si>
  <si>
    <t>Change in Inventory</t>
  </si>
  <si>
    <t>Power and Fuel</t>
  </si>
  <si>
    <t>Other Mfr. Exp</t>
  </si>
  <si>
    <t>Employee Cost</t>
  </si>
  <si>
    <t>Selling and admin</t>
  </si>
  <si>
    <t>Other Expenses</t>
  </si>
  <si>
    <t>Cash &amp; Bank</t>
  </si>
  <si>
    <t>Face value</t>
  </si>
  <si>
    <t>Adjusted Equity Shares in Cr</t>
  </si>
  <si>
    <t>Current Market Price (Share Price)</t>
  </si>
  <si>
    <t>Market Cap</t>
  </si>
  <si>
    <t>Shares Outstanding</t>
  </si>
  <si>
    <t>Enterprise Value (EV)</t>
  </si>
  <si>
    <t>Total Debt (Long term + Short term)</t>
  </si>
  <si>
    <t>Cash &amp; Bank Balance</t>
  </si>
  <si>
    <t>LTM (Last 12 Months) EBITDA:</t>
  </si>
  <si>
    <t>LTM Revenue</t>
  </si>
  <si>
    <t>Normal Info</t>
  </si>
  <si>
    <t>Historical Data (5 year):</t>
  </si>
  <si>
    <t>Revenue Growth %</t>
  </si>
  <si>
    <t>EBITDA Margin %</t>
  </si>
  <si>
    <t xml:space="preserve">Change in Working Capital </t>
  </si>
  <si>
    <t xml:space="preserve">Capex </t>
  </si>
  <si>
    <t>paybable</t>
  </si>
  <si>
    <t>Net working Capital</t>
  </si>
  <si>
    <t>Change in WP</t>
  </si>
  <si>
    <t>Average of CWIP</t>
  </si>
  <si>
    <t>Growth</t>
  </si>
  <si>
    <t>Margin</t>
  </si>
  <si>
    <t>Assumptions</t>
  </si>
  <si>
    <t>Revenue</t>
  </si>
  <si>
    <t>COGS</t>
  </si>
  <si>
    <t>D&amp;A</t>
  </si>
  <si>
    <t>NWC</t>
  </si>
  <si>
    <t>CapEx</t>
  </si>
  <si>
    <t>Last Year Info</t>
  </si>
  <si>
    <t>Operating Assumptions</t>
  </si>
  <si>
    <t>Revenue Growth</t>
  </si>
  <si>
    <t>Tax Rate</t>
  </si>
  <si>
    <t>LTM EBITDA</t>
  </si>
  <si>
    <t>Fees &amp; Expenses</t>
  </si>
  <si>
    <t>Valuation at Entry</t>
  </si>
  <si>
    <t>Current Share Price</t>
  </si>
  <si>
    <t>Share Outstanding</t>
  </si>
  <si>
    <t>Acquistion Premuim</t>
  </si>
  <si>
    <t>Offer Price per Share</t>
  </si>
  <si>
    <t>Acquisition Equity Value</t>
  </si>
  <si>
    <t>Debt</t>
  </si>
  <si>
    <t>Cash</t>
  </si>
  <si>
    <t>Transaction Fees % (of EV)</t>
  </si>
  <si>
    <t>Acquisition Enterprise Value (EV)</t>
  </si>
  <si>
    <t>Transaction Fees (Amount)</t>
  </si>
  <si>
    <t>Implied Entry Multiple</t>
  </si>
  <si>
    <t>#</t>
  </si>
  <si>
    <t>Sources &amp; Uses</t>
  </si>
  <si>
    <t>Sources</t>
  </si>
  <si>
    <t>Amount</t>
  </si>
  <si>
    <t>xEBITDA</t>
  </si>
  <si>
    <t>% Capital</t>
  </si>
  <si>
    <t>Capital Structure</t>
  </si>
  <si>
    <t>Interest(%)</t>
  </si>
  <si>
    <t>Term Loan A</t>
  </si>
  <si>
    <t>Term Loan B</t>
  </si>
  <si>
    <t>IRR (For Reference)</t>
  </si>
  <si>
    <t>MOIC</t>
  </si>
  <si>
    <t>IRR</t>
  </si>
  <si>
    <t>Uses</t>
  </si>
  <si>
    <t>Debt Refinancing</t>
  </si>
  <si>
    <t>Equity Payment</t>
  </si>
  <si>
    <t>Term Loan  A</t>
  </si>
  <si>
    <t>Sponser Equity</t>
  </si>
  <si>
    <t>Existing Debt</t>
  </si>
  <si>
    <t>Financels</t>
  </si>
  <si>
    <t>Operating Model</t>
  </si>
  <si>
    <t xml:space="preserve">   % growth</t>
  </si>
  <si>
    <t>EBITDA</t>
  </si>
  <si>
    <t xml:space="preserve">   % sales</t>
  </si>
  <si>
    <t>EBIT</t>
  </si>
  <si>
    <t>EBT</t>
  </si>
  <si>
    <t>Taxes</t>
  </si>
  <si>
    <t xml:space="preserve">   % tax rate</t>
  </si>
  <si>
    <t>Net Income</t>
  </si>
  <si>
    <t>Cash Flow Items</t>
  </si>
  <si>
    <t>Net Working Capital</t>
  </si>
  <si>
    <t>Change in Net Working Capital</t>
  </si>
  <si>
    <t>Change in NWC</t>
  </si>
  <si>
    <t>Levered Cash Flow</t>
  </si>
  <si>
    <t>Debt Shedule</t>
  </si>
  <si>
    <t xml:space="preserve">   Beginning Balance</t>
  </si>
  <si>
    <t xml:space="preserve">   Interest</t>
  </si>
  <si>
    <t xml:space="preserve">   Paydown</t>
  </si>
  <si>
    <t xml:space="preserve">   Ending Balance</t>
  </si>
  <si>
    <t xml:space="preserve">Cash Remaining for TLB </t>
  </si>
  <si>
    <t>Total Debt</t>
  </si>
  <si>
    <t>EBITDA at Exit</t>
  </si>
  <si>
    <t>Exit Multiple</t>
  </si>
  <si>
    <t>Enterprise Value</t>
  </si>
  <si>
    <t>Net Debt</t>
  </si>
  <si>
    <t>Sponsor Equity Value</t>
  </si>
  <si>
    <t>Sponsor Equity at Entry</t>
  </si>
  <si>
    <t>Bata India Ltd</t>
  </si>
  <si>
    <t>(BSE: 500043 | NSE: BATAINDIA)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</si>
</sst>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3" formatCode="_(* #,##0.00_);_(* \(#,##0.00\);_(* &quot;-&quot;??_);_(@_)"/>
    <numFmt numFmtId="164" formatCode="_ * #,##0.00_ ;_ * \-#,##0.00_ ;_ * &quot;-&quot;??_ ;_ @_ "/>
    <numFmt numFmtId="165" formatCode="[$-409]mmm\-yy;@"/>
    <numFmt numFmtId="166" formatCode="0.0%"/>
    <numFmt numFmtId="167" formatCode="0.0\x"/>
    <numFmt numFmtId="168" formatCode="0&quot;x&quot;"/>
    <numFmt numFmtId="170" formatCode="0\x"/>
    <numFmt numFmtId="172" formatCode="#,#00&quot;x&quot;"/>
    <numFmt numFmtId="173" formatCode="yyyy"/>
    <numFmt numFmtId="174" formatCode="#,##0_);\(#,##0\);\-_)"/>
    <numFmt numFmtId="175" formatCode="0.0&quot;x&quot;"/>
    <numFmt numFmtId="176" formatCode="General&quot;x&quot;"/>
    <numFmt numFmtId="177" formatCode="\₹\ #,##0_);\(\₹\ #,##0\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3333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3333FF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7030A0"/>
      <name val="Calibri"/>
      <family val="2"/>
    </font>
    <font>
      <sz val="11"/>
      <name val="Calibri"/>
      <family val="2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/>
      </patternFill>
    </fill>
    <fill>
      <patternFill patternType="solid">
        <fgColor rgb="FF0275D8"/>
        <bgColor indexed="64"/>
      </patternFill>
    </fill>
    <fill>
      <patternFill patternType="solid">
        <fgColor rgb="FFE3001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9" fontId="3" fillId="0" borderId="0" applyFont="0" applyFill="0" applyBorder="0" applyAlignment="0" applyProtection="0"/>
  </cellStyleXfs>
  <cellXfs count="110">
    <xf numFmtId="0" fontId="0" fillId="0" borderId="0" xfId="0"/>
    <xf numFmtId="164" fontId="1" fillId="0" borderId="0" xfId="1" applyFont="1" applyBorder="1"/>
    <xf numFmtId="0" fontId="1" fillId="0" borderId="0" xfId="0" applyFont="1"/>
    <xf numFmtId="0" fontId="6" fillId="0" borderId="0" xfId="0" applyFont="1"/>
    <xf numFmtId="164" fontId="0" fillId="0" borderId="0" xfId="1" applyFont="1" applyBorder="1"/>
    <xf numFmtId="10" fontId="0" fillId="0" borderId="0" xfId="0" applyNumberFormat="1"/>
    <xf numFmtId="164" fontId="3" fillId="0" borderId="0" xfId="1" applyFont="1" applyBorder="1"/>
    <xf numFmtId="9" fontId="3" fillId="0" borderId="0" xfId="1" applyNumberFormat="1" applyFont="1" applyBorder="1"/>
    <xf numFmtId="164" fontId="2" fillId="2" borderId="0" xfId="3" applyNumberFormat="1" applyFont="1" applyBorder="1"/>
    <xf numFmtId="164" fontId="2" fillId="3" borderId="0" xfId="4" applyNumberFormat="1" applyFont="1" applyBorder="1"/>
    <xf numFmtId="0" fontId="2" fillId="5" borderId="0" xfId="0" applyFont="1" applyFill="1"/>
    <xf numFmtId="165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0" fontId="1" fillId="0" borderId="0" xfId="0" applyNumberFormat="1" applyFont="1"/>
    <xf numFmtId="165" fontId="2" fillId="5" borderId="0" xfId="1" applyNumberFormat="1" applyFont="1" applyFill="1" applyBorder="1"/>
    <xf numFmtId="165" fontId="7" fillId="0" borderId="0" xfId="1" applyNumberFormat="1" applyFont="1" applyFill="1" applyBorder="1"/>
    <xf numFmtId="43" fontId="0" fillId="0" borderId="0" xfId="1" applyNumberFormat="1" applyFont="1" applyBorder="1"/>
    <xf numFmtId="0" fontId="0" fillId="6" borderId="0" xfId="0" applyFill="1"/>
    <xf numFmtId="0" fontId="8" fillId="0" borderId="0" xfId="0" applyFont="1"/>
    <xf numFmtId="9" fontId="0" fillId="0" borderId="0" xfId="6" applyFont="1"/>
    <xf numFmtId="166" fontId="0" fillId="0" borderId="0" xfId="6" applyNumberFormat="1" applyFont="1"/>
    <xf numFmtId="166" fontId="8" fillId="0" borderId="0" xfId="6" applyNumberFormat="1" applyFont="1"/>
    <xf numFmtId="17" fontId="0" fillId="0" borderId="0" xfId="0" applyNumberFormat="1"/>
    <xf numFmtId="0" fontId="0" fillId="0" borderId="0" xfId="0" applyAlignment="1">
      <alignment horizontal="right"/>
    </xf>
    <xf numFmtId="2" fontId="8" fillId="0" borderId="0" xfId="0" applyNumberFormat="1" applyFont="1"/>
    <xf numFmtId="0" fontId="1" fillId="0" borderId="0" xfId="0" applyFont="1" applyAlignment="1">
      <alignment horizontal="left" indent="1"/>
    </xf>
    <xf numFmtId="166" fontId="1" fillId="0" borderId="0" xfId="6" applyNumberFormat="1" applyFont="1" applyBorder="1"/>
    <xf numFmtId="0" fontId="0" fillId="7" borderId="0" xfId="0" applyFill="1"/>
    <xf numFmtId="0" fontId="11" fillId="8" borderId="0" xfId="0" applyFont="1" applyFill="1"/>
    <xf numFmtId="0" fontId="0" fillId="8" borderId="0" xfId="0" applyFill="1"/>
    <xf numFmtId="0" fontId="12" fillId="0" borderId="0" xfId="0" applyFont="1"/>
    <xf numFmtId="0" fontId="2" fillId="7" borderId="0" xfId="0" applyFont="1" applyFill="1"/>
    <xf numFmtId="166" fontId="13" fillId="9" borderId="1" xfId="6" applyNumberFormat="1" applyFont="1" applyFill="1" applyBorder="1"/>
    <xf numFmtId="167" fontId="14" fillId="0" borderId="0" xfId="0" applyNumberFormat="1" applyFont="1"/>
    <xf numFmtId="10" fontId="8" fillId="0" borderId="0" xfId="0" applyNumberFormat="1" applyFont="1"/>
    <xf numFmtId="168" fontId="0" fillId="0" borderId="0" xfId="0" applyNumberFormat="1"/>
    <xf numFmtId="0" fontId="0" fillId="0" borderId="0" xfId="0" applyAlignment="1">
      <alignment horizontal="left" indent="1"/>
    </xf>
    <xf numFmtId="37" fontId="16" fillId="9" borderId="1" xfId="0" applyNumberFormat="1" applyFont="1" applyFill="1" applyBorder="1"/>
    <xf numFmtId="166" fontId="17" fillId="0" borderId="0" xfId="0" applyNumberFormat="1" applyFont="1"/>
    <xf numFmtId="0" fontId="15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0" fontId="0" fillId="0" borderId="2" xfId="0" applyBorder="1" applyAlignment="1">
      <alignment horizontal="left"/>
    </xf>
    <xf numFmtId="0" fontId="12" fillId="0" borderId="0" xfId="0" applyFont="1" applyAlignment="1">
      <alignment horizontal="right"/>
    </xf>
    <xf numFmtId="167" fontId="7" fillId="0" borderId="0" xfId="0" applyNumberFormat="1" applyFont="1"/>
    <xf numFmtId="37" fontId="0" fillId="0" borderId="0" xfId="0" applyNumberFormat="1"/>
    <xf numFmtId="0" fontId="2" fillId="8" borderId="0" xfId="0" applyFont="1" applyFill="1"/>
    <xf numFmtId="166" fontId="13" fillId="10" borderId="1" xfId="0" applyNumberFormat="1" applyFont="1" applyFill="1" applyBorder="1" applyAlignment="1">
      <alignment horizontal="right"/>
    </xf>
    <xf numFmtId="0" fontId="2" fillId="7" borderId="0" xfId="0" applyFont="1" applyFill="1" applyAlignment="1">
      <alignment horizontal="right"/>
    </xf>
    <xf numFmtId="166" fontId="14" fillId="0" borderId="0" xfId="6" applyNumberFormat="1" applyFont="1"/>
    <xf numFmtId="0" fontId="1" fillId="0" borderId="2" xfId="0" applyFont="1" applyBorder="1"/>
    <xf numFmtId="0" fontId="0" fillId="0" borderId="2" xfId="0" applyBorder="1"/>
    <xf numFmtId="167" fontId="7" fillId="0" borderId="2" xfId="0" applyNumberFormat="1" applyFont="1" applyBorder="1"/>
    <xf numFmtId="0" fontId="1" fillId="10" borderId="3" xfId="0" applyFont="1" applyFill="1" applyBorder="1"/>
    <xf numFmtId="0" fontId="1" fillId="10" borderId="4" xfId="0" applyFont="1" applyFill="1" applyBorder="1"/>
    <xf numFmtId="172" fontId="1" fillId="10" borderId="4" xfId="0" applyNumberFormat="1" applyFont="1" applyFill="1" applyBorder="1"/>
    <xf numFmtId="166" fontId="1" fillId="10" borderId="5" xfId="6" applyNumberFormat="1" applyFont="1" applyFill="1" applyBorder="1"/>
    <xf numFmtId="170" fontId="18" fillId="10" borderId="4" xfId="0" applyNumberFormat="1" applyFont="1" applyFill="1" applyBorder="1"/>
    <xf numFmtId="9" fontId="0" fillId="0" borderId="2" xfId="0" applyNumberFormat="1" applyBorder="1"/>
    <xf numFmtId="9" fontId="1" fillId="10" borderId="5" xfId="0" applyNumberFormat="1" applyFont="1" applyFill="1" applyBorder="1"/>
    <xf numFmtId="9" fontId="0" fillId="0" borderId="0" xfId="0" applyNumberFormat="1"/>
    <xf numFmtId="0" fontId="0" fillId="0" borderId="6" xfId="0" applyBorder="1"/>
    <xf numFmtId="173" fontId="2" fillId="7" borderId="0" xfId="0" applyNumberFormat="1" applyFont="1" applyFill="1"/>
    <xf numFmtId="0" fontId="19" fillId="0" borderId="0" xfId="0" applyFont="1"/>
    <xf numFmtId="174" fontId="0" fillId="0" borderId="0" xfId="0" applyNumberFormat="1"/>
    <xf numFmtId="0" fontId="0" fillId="0" borderId="7" xfId="0" applyBorder="1"/>
    <xf numFmtId="166" fontId="0" fillId="0" borderId="0" xfId="0" applyNumberFormat="1"/>
    <xf numFmtId="1" fontId="0" fillId="0" borderId="0" xfId="0" applyNumberFormat="1"/>
    <xf numFmtId="166" fontId="0" fillId="0" borderId="6" xfId="6" applyNumberFormat="1" applyFont="1" applyBorder="1"/>
    <xf numFmtId="1" fontId="1" fillId="10" borderId="4" xfId="0" applyNumberFormat="1" applyFont="1" applyFill="1" applyBorder="1"/>
    <xf numFmtId="174" fontId="0" fillId="0" borderId="7" xfId="0" applyNumberFormat="1" applyBorder="1"/>
    <xf numFmtId="174" fontId="1" fillId="0" borderId="0" xfId="0" applyNumberFormat="1" applyFont="1"/>
    <xf numFmtId="174" fontId="1" fillId="10" borderId="0" xfId="0" applyNumberFormat="1" applyFont="1" applyFill="1"/>
    <xf numFmtId="1" fontId="1" fillId="0" borderId="6" xfId="0" applyNumberFormat="1" applyFont="1" applyBorder="1"/>
    <xf numFmtId="1" fontId="1" fillId="0" borderId="0" xfId="0" applyNumberFormat="1" applyFont="1"/>
    <xf numFmtId="1" fontId="0" fillId="0" borderId="6" xfId="0" applyNumberFormat="1" applyBorder="1"/>
    <xf numFmtId="1" fontId="1" fillId="0" borderId="9" xfId="0" applyNumberFormat="1" applyFont="1" applyBorder="1"/>
    <xf numFmtId="0" fontId="1" fillId="10" borderId="11" xfId="0" applyFont="1" applyFill="1" applyBorder="1"/>
    <xf numFmtId="0" fontId="1" fillId="10" borderId="12" xfId="0" applyFont="1" applyFill="1" applyBorder="1"/>
    <xf numFmtId="1" fontId="1" fillId="10" borderId="12" xfId="0" applyNumberFormat="1" applyFont="1" applyFill="1" applyBorder="1"/>
    <xf numFmtId="0" fontId="1" fillId="10" borderId="13" xfId="0" applyFont="1" applyFill="1" applyBorder="1"/>
    <xf numFmtId="0" fontId="1" fillId="10" borderId="14" xfId="0" applyFont="1" applyFill="1" applyBorder="1"/>
    <xf numFmtId="1" fontId="1" fillId="10" borderId="14" xfId="0" applyNumberFormat="1" applyFont="1" applyFill="1" applyBorder="1"/>
    <xf numFmtId="10" fontId="1" fillId="10" borderId="15" xfId="6" applyNumberFormat="1" applyFont="1" applyFill="1" applyBorder="1"/>
    <xf numFmtId="175" fontId="1" fillId="10" borderId="16" xfId="0" applyNumberFormat="1" applyFont="1" applyFill="1" applyBorder="1"/>
    <xf numFmtId="176" fontId="0" fillId="0" borderId="0" xfId="0" applyNumberFormat="1"/>
    <xf numFmtId="175" fontId="13" fillId="10" borderId="1" xfId="0" applyNumberFormat="1" applyFont="1" applyFill="1" applyBorder="1" applyAlignment="1">
      <alignment horizontal="right"/>
    </xf>
    <xf numFmtId="0" fontId="22" fillId="0" borderId="0" xfId="0" applyFont="1"/>
    <xf numFmtId="164" fontId="4" fillId="0" borderId="0" xfId="2" applyNumberFormat="1" applyBorder="1" applyAlignment="1" applyProtection="1">
      <alignment horizontal="center"/>
    </xf>
    <xf numFmtId="164" fontId="2" fillId="4" borderId="0" xfId="5" applyNumberFormat="1" applyFont="1" applyBorder="1" applyAlignment="1">
      <alignment horizontal="center"/>
    </xf>
    <xf numFmtId="177" fontId="13" fillId="9" borderId="1" xfId="0" applyNumberFormat="1" applyFont="1" applyFill="1" applyBorder="1"/>
    <xf numFmtId="177" fontId="13" fillId="10" borderId="1" xfId="0" applyNumberFormat="1" applyFont="1" applyFill="1" applyBorder="1" applyAlignment="1">
      <alignment horizontal="right"/>
    </xf>
    <xf numFmtId="177" fontId="0" fillId="0" borderId="2" xfId="0" applyNumberFormat="1" applyBorder="1" applyAlignment="1">
      <alignment horizontal="right"/>
    </xf>
    <xf numFmtId="177" fontId="0" fillId="0" borderId="0" xfId="0" applyNumberFormat="1" applyAlignment="1">
      <alignment horizontal="right"/>
    </xf>
    <xf numFmtId="177" fontId="15" fillId="0" borderId="2" xfId="0" applyNumberFormat="1" applyFont="1" applyBorder="1" applyAlignment="1">
      <alignment horizontal="right"/>
    </xf>
    <xf numFmtId="177" fontId="0" fillId="0" borderId="0" xfId="0" applyNumberFormat="1"/>
    <xf numFmtId="177" fontId="1" fillId="0" borderId="0" xfId="0" applyNumberFormat="1" applyFont="1"/>
    <xf numFmtId="177" fontId="0" fillId="0" borderId="2" xfId="0" applyNumberFormat="1" applyBorder="1"/>
    <xf numFmtId="177" fontId="1" fillId="10" borderId="4" xfId="0" applyNumberFormat="1" applyFont="1" applyFill="1" applyBorder="1"/>
    <xf numFmtId="177" fontId="0" fillId="0" borderId="6" xfId="0" applyNumberFormat="1" applyBorder="1"/>
    <xf numFmtId="177" fontId="20" fillId="0" borderId="6" xfId="0" applyNumberFormat="1" applyFont="1" applyBorder="1"/>
    <xf numFmtId="177" fontId="20" fillId="0" borderId="0" xfId="0" applyNumberFormat="1" applyFont="1"/>
    <xf numFmtId="177" fontId="21" fillId="0" borderId="6" xfId="0" applyNumberFormat="1" applyFont="1" applyBorder="1"/>
    <xf numFmtId="177" fontId="21" fillId="0" borderId="0" xfId="0" applyNumberFormat="1" applyFont="1"/>
    <xf numFmtId="177" fontId="0" fillId="0" borderId="8" xfId="0" applyNumberFormat="1" applyBorder="1"/>
    <xf numFmtId="177" fontId="0" fillId="0" borderId="7" xfId="0" applyNumberFormat="1" applyBorder="1"/>
    <xf numFmtId="177" fontId="1" fillId="0" borderId="6" xfId="0" applyNumberFormat="1" applyFont="1" applyBorder="1"/>
    <xf numFmtId="177" fontId="1" fillId="0" borderId="10" xfId="0" applyNumberFormat="1" applyFont="1" applyBorder="1"/>
    <xf numFmtId="177" fontId="1" fillId="0" borderId="2" xfId="0" applyNumberFormat="1" applyFont="1" applyBorder="1"/>
    <xf numFmtId="177" fontId="1" fillId="10" borderId="5" xfId="0" applyNumberFormat="1" applyFont="1" applyFill="1" applyBorder="1"/>
    <xf numFmtId="177" fontId="0" fillId="0" borderId="0" xfId="0" applyNumberFormat="1" applyAlignment="1">
      <alignment horizontal="left" indent="1"/>
    </xf>
  </cellXfs>
  <cellStyles count="7">
    <cellStyle name="60% - Accent1" xfId="3" builtinId="32"/>
    <cellStyle name="60% - Accent3" xfId="4" builtinId="40"/>
    <cellStyle name="Accent6" xfId="5" builtinId="49"/>
    <cellStyle name="Comma" xfId="1" builtinId="3"/>
    <cellStyle name="Hyperlink" xfId="2" builtinId="8"/>
    <cellStyle name="Normal" xfId="0" builtinId="0"/>
    <cellStyle name="Percent" xfId="6" builtinId="5"/>
  </cellStyles>
  <dxfs count="19">
    <dxf>
      <font>
        <b/>
        <i val="0"/>
        <color theme="0"/>
      </font>
      <fill>
        <patternFill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rgb="FF0275D8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</dxf>
  </dxfs>
  <tableStyles count="1" defaultTableStyle="TableStyleMedium9" defaultPivotStyle="PivotStyleLight16">
    <tableStyle name="Invisible" pivot="0" table="0" count="0" xr9:uid="{B1F122F8-D03B-43D1-BE61-4891BFF678EF}"/>
  </tableStyles>
  <colors>
    <mruColors>
      <color rgb="FFE30013"/>
      <color rgb="FF3333FF"/>
      <color rgb="FF0275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133171</xdr:colOff>
      <xdr:row>3</xdr:row>
      <xdr:rowOff>606</xdr:rowOff>
    </xdr:from>
    <xdr:to>
      <xdr:col>15</xdr:col>
      <xdr:colOff>571285</xdr:colOff>
      <xdr:row>4</xdr:row>
      <xdr:rowOff>129564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9602FB-0D6E-6047-9181-56D980BC7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1785" y="423101"/>
          <a:ext cx="1886668" cy="4231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nnual" displayName="Annual" ref="A3:N23" headerRowCount="0" totalsRowShown="0" headerRowDxfId="18">
  <tableColumns count="14">
    <tableColumn id="1" xr3:uid="{00000000-0010-0000-0000-000001000000}" name="Column1" headerRowDxfId="17" dataDxfId="16"/>
    <tableColumn id="2" xr3:uid="{00000000-0010-0000-0000-000002000000}" name="Column2" headerRowDxfId="15"/>
    <tableColumn id="3" xr3:uid="{00000000-0010-0000-0000-000003000000}" name="Column3" headerRowDxfId="14"/>
    <tableColumn id="4" xr3:uid="{00000000-0010-0000-0000-000004000000}" name="Column4" headerRowDxfId="13"/>
    <tableColumn id="5" xr3:uid="{00000000-0010-0000-0000-000005000000}" name="Column5" headerRowDxfId="12"/>
    <tableColumn id="6" xr3:uid="{00000000-0010-0000-0000-000006000000}" name="Column6" headerRowDxfId="11"/>
    <tableColumn id="7" xr3:uid="{00000000-0010-0000-0000-000007000000}" name="Column7" headerRowDxfId="10"/>
    <tableColumn id="8" xr3:uid="{00000000-0010-0000-0000-000008000000}" name="Column8" headerRowDxfId="9"/>
    <tableColumn id="9" xr3:uid="{00000000-0010-0000-0000-000009000000}" name="Column9" headerRowDxfId="8"/>
    <tableColumn id="10" xr3:uid="{00000000-0010-0000-0000-00000A000000}" name="Column10" headerRowDxfId="7"/>
    <tableColumn id="11" xr3:uid="{00000000-0010-0000-0000-00000B000000}" name="Column11" headerRowDxfId="6"/>
    <tableColumn id="12" xr3:uid="{00000000-0010-0000-0000-00000C000000}" name="Column12" headerRowDxfId="5"/>
    <tableColumn id="13" xr3:uid="{00000000-0010-0000-0000-00000D000000}" name="Column13" headerRowDxfId="4" dataDxfId="3"/>
    <tableColumn id="14" xr3:uid="{00000000-0010-0000-0000-00000E000000}" name="Column14" headerRowDxfId="2" dataDxfId="1"/>
  </tableColumns>
  <tableStyleInfo showFirstColumn="0" showLastColumn="0" showRowStripes="0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jacency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creener.in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creener.in/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9BAC5-DDA8-454E-A01F-43AE2737EF1E}">
  <dimension ref="A2:S131"/>
  <sheetViews>
    <sheetView showGridLines="0" tabSelected="1" zoomScale="101" zoomScaleNormal="101" workbookViewId="0">
      <selection activeCell="F11" sqref="F11"/>
    </sheetView>
  </sheetViews>
  <sheetFormatPr defaultRowHeight="14.4" x14ac:dyDescent="0.3"/>
  <cols>
    <col min="1" max="1" width="2.33203125" customWidth="1"/>
    <col min="4" max="4" width="8.88671875" customWidth="1"/>
    <col min="5" max="5" width="10" customWidth="1"/>
    <col min="6" max="6" width="12.109375" customWidth="1"/>
    <col min="7" max="7" width="10.88671875" customWidth="1"/>
    <col min="8" max="10" width="6.6640625" customWidth="1"/>
    <col min="11" max="16" width="10.5546875" customWidth="1"/>
  </cols>
  <sheetData>
    <row r="2" spans="1:16" x14ac:dyDescent="0.3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4.95" customHeight="1" x14ac:dyDescent="0.3"/>
    <row r="4" spans="1:16" ht="23.4" x14ac:dyDescent="0.45">
      <c r="B4" s="86" t="s">
        <v>166</v>
      </c>
    </row>
    <row r="5" spans="1:16" x14ac:dyDescent="0.3">
      <c r="B5" t="s">
        <v>167</v>
      </c>
    </row>
    <row r="6" spans="1:16" ht="4.95" customHeight="1" x14ac:dyDescent="0.3"/>
    <row r="7" spans="1:16" x14ac:dyDescent="0.3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9" spans="1:16" ht="15.6" x14ac:dyDescent="0.3">
      <c r="A9" t="s">
        <v>119</v>
      </c>
      <c r="B9" s="28" t="s">
        <v>95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ht="4.95" customHeight="1" x14ac:dyDescent="0.3"/>
    <row r="11" spans="1:16" x14ac:dyDescent="0.3">
      <c r="B11" s="31" t="s">
        <v>101</v>
      </c>
      <c r="C11" s="27"/>
      <c r="D11" s="27"/>
      <c r="E11" s="27"/>
      <c r="F11" s="27"/>
      <c r="I11" s="31" t="s">
        <v>107</v>
      </c>
      <c r="J11" s="31"/>
      <c r="K11" s="31"/>
      <c r="L11" s="31"/>
      <c r="M11" s="31"/>
      <c r="N11" s="31"/>
      <c r="O11" s="31"/>
      <c r="P11" s="31"/>
    </row>
    <row r="12" spans="1:16" ht="4.95" customHeight="1" x14ac:dyDescent="0.3">
      <c r="B12" s="30"/>
    </row>
    <row r="13" spans="1:16" x14ac:dyDescent="0.3">
      <c r="B13" t="s">
        <v>105</v>
      </c>
      <c r="F13" s="89">
        <f>'DATA Info'!F9</f>
        <v>721.11000000000013</v>
      </c>
      <c r="I13" s="2" t="s">
        <v>108</v>
      </c>
      <c r="P13" s="37">
        <f>'DATA Info'!F3</f>
        <v>1066.0999999999999</v>
      </c>
    </row>
    <row r="14" spans="1:16" x14ac:dyDescent="0.3">
      <c r="B14" t="s">
        <v>96</v>
      </c>
      <c r="F14" s="89">
        <f>'Profit &amp; Loss'!K4</f>
        <v>3488.79</v>
      </c>
      <c r="I14" t="s">
        <v>109</v>
      </c>
      <c r="P14" s="94">
        <f>'DATA Info'!F5</f>
        <v>12.852753025044557</v>
      </c>
    </row>
    <row r="15" spans="1:16" x14ac:dyDescent="0.3">
      <c r="B15" t="s">
        <v>97</v>
      </c>
      <c r="F15" s="89">
        <f>'Profit &amp; Loss'!K7</f>
        <v>2736.15</v>
      </c>
      <c r="I15" s="39" t="s">
        <v>76</v>
      </c>
      <c r="J15" s="39"/>
      <c r="K15" s="39"/>
      <c r="L15" s="39"/>
      <c r="M15" s="39"/>
      <c r="N15" s="39"/>
      <c r="O15" s="39"/>
      <c r="P15" s="93">
        <f>P13*P14</f>
        <v>13702.32</v>
      </c>
    </row>
    <row r="16" spans="1:16" x14ac:dyDescent="0.3">
      <c r="B16" t="s">
        <v>98</v>
      </c>
      <c r="F16" s="89">
        <f>'Profit &amp; Loss'!K12</f>
        <v>371.3</v>
      </c>
    </row>
    <row r="17" spans="2:16" x14ac:dyDescent="0.3">
      <c r="B17" t="s">
        <v>99</v>
      </c>
      <c r="F17" s="89">
        <f>'DATA Info'!G23</f>
        <v>123</v>
      </c>
      <c r="I17" s="2" t="s">
        <v>110</v>
      </c>
      <c r="P17" s="38">
        <v>0.15</v>
      </c>
    </row>
    <row r="18" spans="2:16" x14ac:dyDescent="0.3">
      <c r="B18" t="s">
        <v>100</v>
      </c>
      <c r="F18" s="89">
        <v>69</v>
      </c>
      <c r="I18" s="36" t="s">
        <v>111</v>
      </c>
      <c r="J18" s="36"/>
      <c r="K18" s="36"/>
      <c r="L18" s="36"/>
      <c r="M18" s="36"/>
      <c r="N18" s="36"/>
      <c r="O18" s="36"/>
      <c r="P18" s="92">
        <f>P13*(1+P17)</f>
        <v>1226.0149999999999</v>
      </c>
    </row>
    <row r="19" spans="2:16" x14ac:dyDescent="0.3">
      <c r="B19" t="s">
        <v>113</v>
      </c>
      <c r="F19" s="89">
        <v>1378</v>
      </c>
      <c r="I19" s="41" t="s">
        <v>112</v>
      </c>
      <c r="J19" s="41"/>
      <c r="K19" s="41"/>
      <c r="L19" s="40"/>
      <c r="M19" s="40"/>
      <c r="N19" s="40"/>
      <c r="O19" s="40"/>
      <c r="P19" s="91">
        <f>P18*P14</f>
        <v>15757.668</v>
      </c>
    </row>
    <row r="20" spans="2:16" x14ac:dyDescent="0.3">
      <c r="B20" t="s">
        <v>114</v>
      </c>
      <c r="F20" s="89">
        <v>543</v>
      </c>
    </row>
    <row r="21" spans="2:16" x14ac:dyDescent="0.3">
      <c r="I21" t="s">
        <v>137</v>
      </c>
      <c r="P21" s="94">
        <f>F19</f>
        <v>1378</v>
      </c>
    </row>
    <row r="22" spans="2:16" x14ac:dyDescent="0.3">
      <c r="B22" s="30" t="s">
        <v>102</v>
      </c>
      <c r="I22" t="s">
        <v>115</v>
      </c>
      <c r="P22" s="34">
        <v>1.4999999999999999E-2</v>
      </c>
    </row>
    <row r="23" spans="2:16" x14ac:dyDescent="0.3">
      <c r="B23" t="s">
        <v>103</v>
      </c>
      <c r="F23" s="32">
        <f>'DATA Info'!E13</f>
        <v>0.1</v>
      </c>
    </row>
    <row r="24" spans="2:16" x14ac:dyDescent="0.3">
      <c r="B24" t="s">
        <v>104</v>
      </c>
      <c r="F24" s="32">
        <v>0.25</v>
      </c>
      <c r="I24" s="2" t="s">
        <v>116</v>
      </c>
      <c r="J24" s="2"/>
      <c r="K24" s="2"/>
      <c r="L24" s="2"/>
      <c r="M24" s="2"/>
      <c r="N24" s="2"/>
      <c r="O24" s="2"/>
      <c r="P24" s="95">
        <f>P19+P21</f>
        <v>17135.667999999998</v>
      </c>
    </row>
    <row r="25" spans="2:16" x14ac:dyDescent="0.3">
      <c r="B25" t="str">
        <f>'DATA Info'!B14</f>
        <v>EBITDA Margin %</v>
      </c>
      <c r="F25" s="32">
        <f>'DATA Info'!E14</f>
        <v>0.20900648661808999</v>
      </c>
      <c r="I25" s="36" t="s">
        <v>117</v>
      </c>
      <c r="J25" s="36"/>
      <c r="K25" s="36"/>
      <c r="L25" s="36"/>
      <c r="M25" s="36"/>
      <c r="N25" s="36"/>
      <c r="O25" s="36"/>
      <c r="P25" s="94">
        <f>P24*P22</f>
        <v>257.03501999999997</v>
      </c>
    </row>
    <row r="26" spans="2:16" x14ac:dyDescent="0.3">
      <c r="B26" t="str">
        <f>'DATA Info'!B15</f>
        <v xml:space="preserve">Capex </v>
      </c>
      <c r="F26" s="32">
        <f>'DATA Info'!E15</f>
        <v>1.9998956576178634E-2</v>
      </c>
    </row>
    <row r="27" spans="2:16" x14ac:dyDescent="0.3">
      <c r="B27" t="str">
        <f>'DATA Info'!B16</f>
        <v xml:space="preserve">Change in Working Capital </v>
      </c>
      <c r="F27" s="32">
        <f>'DATA Info'!E16</f>
        <v>3.5650313896666265E-2</v>
      </c>
      <c r="I27" t="s">
        <v>118</v>
      </c>
      <c r="P27" s="35">
        <f>P24/F13</f>
        <v>23.762904411254866</v>
      </c>
    </row>
    <row r="28" spans="2:16" x14ac:dyDescent="0.3">
      <c r="I28" t="s">
        <v>161</v>
      </c>
      <c r="P28" s="35">
        <f>P27</f>
        <v>23.762904411254866</v>
      </c>
    </row>
    <row r="30" spans="2:16" x14ac:dyDescent="0.3">
      <c r="B30" s="31" t="s">
        <v>125</v>
      </c>
      <c r="C30" s="27"/>
      <c r="D30" s="27"/>
      <c r="E30" s="47" t="s">
        <v>122</v>
      </c>
      <c r="F30" s="47" t="s">
        <v>126</v>
      </c>
      <c r="I30" s="31" t="s">
        <v>129</v>
      </c>
      <c r="J30" s="27"/>
      <c r="K30" s="27"/>
      <c r="L30" s="47"/>
      <c r="M30" s="47"/>
      <c r="N30" s="47"/>
      <c r="O30" s="47"/>
      <c r="P30" s="47"/>
    </row>
    <row r="31" spans="2:16" ht="4.95" customHeight="1" x14ac:dyDescent="0.3">
      <c r="E31" s="23"/>
      <c r="F31" s="23"/>
      <c r="M31" s="33"/>
    </row>
    <row r="32" spans="2:16" x14ac:dyDescent="0.3">
      <c r="B32" t="s">
        <v>127</v>
      </c>
      <c r="E32" s="90">
        <v>1442.2200000000003</v>
      </c>
      <c r="F32" s="46">
        <v>9.5000000000000001E-2</v>
      </c>
      <c r="I32" t="s">
        <v>131</v>
      </c>
      <c r="M32" s="48"/>
      <c r="P32" s="46">
        <f>P131</f>
        <v>0.15077926567623279</v>
      </c>
    </row>
    <row r="33" spans="1:16" x14ac:dyDescent="0.3">
      <c r="B33" t="s">
        <v>128</v>
      </c>
      <c r="E33" s="90">
        <v>1442.2200000000003</v>
      </c>
      <c r="F33" s="46">
        <v>0.11</v>
      </c>
      <c r="I33" t="s">
        <v>130</v>
      </c>
      <c r="L33" s="5"/>
      <c r="P33" s="85">
        <f>P130</f>
        <v>2.0181811320404632</v>
      </c>
    </row>
    <row r="35" spans="1:16" x14ac:dyDescent="0.3">
      <c r="A35" t="s">
        <v>119</v>
      </c>
      <c r="B35" s="45" t="s">
        <v>120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</row>
    <row r="36" spans="1:16" ht="4.95" customHeight="1" x14ac:dyDescent="0.3"/>
    <row r="37" spans="1:16" x14ac:dyDescent="0.3">
      <c r="B37" s="31" t="s">
        <v>121</v>
      </c>
      <c r="C37" s="27"/>
      <c r="D37" s="27"/>
      <c r="E37" s="27"/>
      <c r="F37" s="27"/>
      <c r="G37" s="27"/>
      <c r="K37" s="31" t="s">
        <v>132</v>
      </c>
      <c r="L37" s="27"/>
      <c r="M37" s="27"/>
      <c r="N37" s="27"/>
      <c r="O37" s="27"/>
      <c r="P37" s="27"/>
    </row>
    <row r="38" spans="1:16" x14ac:dyDescent="0.3">
      <c r="E38" s="42" t="s">
        <v>122</v>
      </c>
      <c r="F38" s="42" t="s">
        <v>123</v>
      </c>
      <c r="G38" s="42" t="s">
        <v>124</v>
      </c>
      <c r="N38" s="42" t="s">
        <v>122</v>
      </c>
      <c r="O38" s="42" t="s">
        <v>123</v>
      </c>
      <c r="P38" s="42" t="s">
        <v>124</v>
      </c>
    </row>
    <row r="39" spans="1:16" x14ac:dyDescent="0.3">
      <c r="B39" t="s">
        <v>135</v>
      </c>
      <c r="E39" s="94">
        <f>E32</f>
        <v>1442.2200000000003</v>
      </c>
      <c r="F39" s="43">
        <f>E39/$F$13</f>
        <v>2</v>
      </c>
      <c r="G39" s="19">
        <f>E39/E46</f>
        <v>8.2920981192030965E-2</v>
      </c>
      <c r="K39" t="s">
        <v>133</v>
      </c>
      <c r="N39" s="94">
        <f>F19</f>
        <v>1378</v>
      </c>
      <c r="O39" s="43">
        <f>N39/$F$13</f>
        <v>1.9109428519920675</v>
      </c>
      <c r="P39" s="20">
        <f>N39/$N$46</f>
        <v>7.9228628144540125E-2</v>
      </c>
    </row>
    <row r="40" spans="1:16" x14ac:dyDescent="0.3">
      <c r="B40" t="s">
        <v>128</v>
      </c>
      <c r="E40" s="94">
        <f>E32</f>
        <v>1442.2200000000003</v>
      </c>
      <c r="F40" s="43">
        <f>E40/$F$13</f>
        <v>2</v>
      </c>
      <c r="G40" s="19">
        <f>E40/E46</f>
        <v>8.2920981192030965E-2</v>
      </c>
      <c r="K40" t="s">
        <v>134</v>
      </c>
      <c r="N40" s="94">
        <f>P19</f>
        <v>15757.668</v>
      </c>
      <c r="O40" s="43">
        <f t="shared" ref="O40" si="0">N40/$F$13</f>
        <v>21.851961559262797</v>
      </c>
      <c r="P40" s="20">
        <f>N40/$N$46</f>
        <v>0.90599304673230707</v>
      </c>
    </row>
    <row r="41" spans="1:16" x14ac:dyDescent="0.3">
      <c r="B41" t="s">
        <v>114</v>
      </c>
      <c r="E41" s="94">
        <f>F20</f>
        <v>543</v>
      </c>
      <c r="F41" s="43">
        <f>E41/$F$13</f>
        <v>0.75300578275159114</v>
      </c>
      <c r="G41" s="19">
        <f>E41/E46</f>
        <v>3.1219989174517623E-2</v>
      </c>
      <c r="K41" t="s">
        <v>106</v>
      </c>
      <c r="N41" s="94">
        <f>P25</f>
        <v>257.03501999999997</v>
      </c>
      <c r="O41" s="43">
        <f>N41/$F$13</f>
        <v>0.35644356616882295</v>
      </c>
      <c r="P41" s="20">
        <f>N41/$N$46</f>
        <v>1.4778325123152707E-2</v>
      </c>
    </row>
    <row r="42" spans="1:16" x14ac:dyDescent="0.3">
      <c r="B42" s="49" t="s">
        <v>26</v>
      </c>
      <c r="C42" s="50"/>
      <c r="D42" s="50"/>
      <c r="E42" s="96">
        <f>SUM(E39:E41)</f>
        <v>3427.4400000000005</v>
      </c>
      <c r="F42" s="51">
        <f>F39+F40+F41</f>
        <v>4.7530057827515915</v>
      </c>
      <c r="G42" s="57">
        <f>SUM(G39:G41)</f>
        <v>0.19706195155857956</v>
      </c>
    </row>
    <row r="43" spans="1:16" x14ac:dyDescent="0.3">
      <c r="B43" s="2"/>
      <c r="E43" s="44"/>
      <c r="F43" s="43"/>
      <c r="G43" s="59"/>
    </row>
    <row r="44" spans="1:16" x14ac:dyDescent="0.3">
      <c r="B44" t="s">
        <v>136</v>
      </c>
      <c r="E44" s="94">
        <f>E46-E42</f>
        <v>13965.26302</v>
      </c>
      <c r="F44" s="43">
        <f>E44/F13</f>
        <v>19.3663421946721</v>
      </c>
      <c r="G44" s="19">
        <f>E44/E46</f>
        <v>0.80293804844142047</v>
      </c>
    </row>
    <row r="46" spans="1:16" x14ac:dyDescent="0.3">
      <c r="B46" s="52" t="s">
        <v>26</v>
      </c>
      <c r="C46" s="53"/>
      <c r="D46" s="53"/>
      <c r="E46" s="97">
        <f>N46</f>
        <v>17392.703020000001</v>
      </c>
      <c r="F46" s="56">
        <f>F44+F42</f>
        <v>24.119347977423693</v>
      </c>
      <c r="G46" s="58">
        <f>G44+G42</f>
        <v>1</v>
      </c>
      <c r="K46" s="52" t="s">
        <v>26</v>
      </c>
      <c r="L46" s="53"/>
      <c r="M46" s="53"/>
      <c r="N46" s="97">
        <f>N41+N40+N39</f>
        <v>17392.703020000001</v>
      </c>
      <c r="O46" s="54">
        <f>SUM(O39:O41)</f>
        <v>24.11934797742369</v>
      </c>
      <c r="P46" s="55">
        <f>SUM(P39:P41)</f>
        <v>0.99999999999999989</v>
      </c>
    </row>
    <row r="48" spans="1:16" x14ac:dyDescent="0.3">
      <c r="B48" s="45" t="s">
        <v>138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</row>
    <row r="49" spans="2:16" ht="4.95" customHeight="1" x14ac:dyDescent="0.3">
      <c r="L49" s="2"/>
      <c r="M49" s="2"/>
      <c r="N49" s="2"/>
      <c r="O49" s="2"/>
      <c r="P49" s="2"/>
    </row>
    <row r="50" spans="2:16" x14ac:dyDescent="0.3">
      <c r="B50" s="31" t="s">
        <v>139</v>
      </c>
      <c r="C50" s="27"/>
      <c r="D50" s="27"/>
      <c r="E50" s="27"/>
      <c r="F50" s="27"/>
      <c r="G50" s="27"/>
      <c r="H50" s="27"/>
      <c r="I50" s="27"/>
      <c r="J50" s="27"/>
      <c r="K50" s="61">
        <f>'Profit &amp; Loss'!K3</f>
        <v>45747</v>
      </c>
      <c r="L50" s="61">
        <f>K50+365</f>
        <v>46112</v>
      </c>
      <c r="M50" s="61">
        <f t="shared" ref="M50:P50" si="1">L50+365</f>
        <v>46477</v>
      </c>
      <c r="N50" s="61">
        <f t="shared" si="1"/>
        <v>46842</v>
      </c>
      <c r="O50" s="61">
        <f t="shared" si="1"/>
        <v>47207</v>
      </c>
      <c r="P50" s="61">
        <f t="shared" si="1"/>
        <v>47572</v>
      </c>
    </row>
    <row r="51" spans="2:16" ht="4.95" customHeight="1" x14ac:dyDescent="0.3"/>
    <row r="52" spans="2:16" x14ac:dyDescent="0.3">
      <c r="B52" t="s">
        <v>96</v>
      </c>
      <c r="K52" s="98">
        <f>F14</f>
        <v>3488.79</v>
      </c>
      <c r="L52" s="94">
        <f>K52*(1+L53)</f>
        <v>3837.6690000000003</v>
      </c>
      <c r="M52" s="94">
        <f t="shared" ref="M52:P52" si="2">L52*(1+M53)</f>
        <v>4221.4359000000004</v>
      </c>
      <c r="N52" s="94">
        <f t="shared" si="2"/>
        <v>4643.579490000001</v>
      </c>
      <c r="O52" s="94">
        <f t="shared" si="2"/>
        <v>5107.9374390000012</v>
      </c>
      <c r="P52" s="94">
        <f t="shared" si="2"/>
        <v>5618.7311829000018</v>
      </c>
    </row>
    <row r="53" spans="2:16" x14ac:dyDescent="0.3">
      <c r="B53" s="62" t="s">
        <v>140</v>
      </c>
      <c r="K53" s="60"/>
      <c r="L53" s="65">
        <f>F23</f>
        <v>0.1</v>
      </c>
      <c r="M53" s="65">
        <f>L53</f>
        <v>0.1</v>
      </c>
      <c r="N53" s="65">
        <f t="shared" ref="N53:P53" si="3">M53</f>
        <v>0.1</v>
      </c>
      <c r="O53" s="65">
        <f t="shared" si="3"/>
        <v>0.1</v>
      </c>
      <c r="P53" s="65">
        <f t="shared" si="3"/>
        <v>0.1</v>
      </c>
    </row>
    <row r="54" spans="2:16" x14ac:dyDescent="0.3">
      <c r="K54" s="60"/>
    </row>
    <row r="55" spans="2:16" x14ac:dyDescent="0.3">
      <c r="B55" s="63" t="s">
        <v>141</v>
      </c>
      <c r="K55" s="98">
        <f>F13</f>
        <v>721.11000000000013</v>
      </c>
      <c r="L55" s="94">
        <f>L52*L56</f>
        <v>802.09771449315883</v>
      </c>
      <c r="M55" s="94">
        <f t="shared" ref="M55:O55" si="4">M52*M56</f>
        <v>882.30748594247473</v>
      </c>
      <c r="N55" s="94">
        <f t="shared" si="4"/>
        <v>970.53823453672237</v>
      </c>
      <c r="O55" s="94">
        <f t="shared" si="4"/>
        <v>1067.5920579903946</v>
      </c>
      <c r="P55" s="94">
        <f>P52*P56</f>
        <v>1174.3512637894341</v>
      </c>
    </row>
    <row r="56" spans="2:16" x14ac:dyDescent="0.3">
      <c r="B56" s="62" t="s">
        <v>142</v>
      </c>
      <c r="K56" s="67">
        <f>K55/K52</f>
        <v>0.20669343812611254</v>
      </c>
      <c r="L56" s="65">
        <f>F25</f>
        <v>0.20900648661808999</v>
      </c>
      <c r="M56" s="65">
        <f>L56</f>
        <v>0.20900648661808999</v>
      </c>
      <c r="N56" s="65">
        <f t="shared" ref="N56:P56" si="5">M56</f>
        <v>0.20900648661808999</v>
      </c>
      <c r="O56" s="65">
        <f t="shared" si="5"/>
        <v>0.20900648661808999</v>
      </c>
      <c r="P56" s="65">
        <f t="shared" si="5"/>
        <v>0.20900648661808999</v>
      </c>
    </row>
    <row r="57" spans="2:16" x14ac:dyDescent="0.3">
      <c r="K57" s="60"/>
    </row>
    <row r="58" spans="2:16" x14ac:dyDescent="0.3">
      <c r="B58" t="s">
        <v>143</v>
      </c>
      <c r="K58" s="60"/>
    </row>
    <row r="59" spans="2:16" x14ac:dyDescent="0.3">
      <c r="B59" s="62" t="s">
        <v>142</v>
      </c>
      <c r="K59" s="98">
        <f>K55-K76</f>
        <v>349.81000000000012</v>
      </c>
      <c r="L59" s="94">
        <f>L55-L76</f>
        <v>393.66771449315877</v>
      </c>
      <c r="M59" s="94">
        <f t="shared" ref="M59:P59" si="6">M55-M76</f>
        <v>433.03448594247465</v>
      </c>
      <c r="N59" s="94">
        <f t="shared" si="6"/>
        <v>476.33793453672223</v>
      </c>
      <c r="O59" s="94">
        <f t="shared" si="6"/>
        <v>523.97172799039436</v>
      </c>
      <c r="P59" s="94">
        <f t="shared" si="6"/>
        <v>576.36890078943395</v>
      </c>
    </row>
    <row r="60" spans="2:16" x14ac:dyDescent="0.3">
      <c r="B60" s="62"/>
      <c r="K60" s="67">
        <f>K59/K52</f>
        <v>0.10026685469747394</v>
      </c>
      <c r="L60" s="20">
        <f>L59/L52</f>
        <v>0.1025799031894514</v>
      </c>
      <c r="M60" s="20">
        <f t="shared" ref="M60:P60" si="7">M59/M52</f>
        <v>0.10257990318945139</v>
      </c>
      <c r="N60" s="20">
        <f t="shared" si="7"/>
        <v>0.1025799031894514</v>
      </c>
      <c r="O60" s="20">
        <f t="shared" si="7"/>
        <v>0.10257990318945139</v>
      </c>
      <c r="P60" s="20">
        <f t="shared" si="7"/>
        <v>0.1025799031894514</v>
      </c>
    </row>
    <row r="61" spans="2:16" x14ac:dyDescent="0.3">
      <c r="B61" s="62"/>
      <c r="K61" s="67"/>
      <c r="L61" s="20"/>
      <c r="M61" s="20"/>
      <c r="N61" s="20"/>
      <c r="O61" s="20"/>
      <c r="P61" s="20"/>
    </row>
    <row r="62" spans="2:16" x14ac:dyDescent="0.3">
      <c r="B62" t="s">
        <v>11</v>
      </c>
      <c r="K62" s="60"/>
      <c r="L62" s="71">
        <f>L116</f>
        <v>295.65510000000006</v>
      </c>
      <c r="M62" s="71">
        <f t="shared" ref="M62:P62" si="8">M116</f>
        <v>258.39369114310551</v>
      </c>
      <c r="N62" s="71">
        <f t="shared" si="8"/>
        <v>212.50088350622474</v>
      </c>
      <c r="O62" s="71">
        <f t="shared" si="8"/>
        <v>156.63372132983878</v>
      </c>
      <c r="P62" s="71">
        <f t="shared" si="8"/>
        <v>79.463614210991764</v>
      </c>
    </row>
    <row r="63" spans="2:16" x14ac:dyDescent="0.3">
      <c r="K63" s="60"/>
    </row>
    <row r="64" spans="2:16" x14ac:dyDescent="0.3">
      <c r="B64" t="s">
        <v>144</v>
      </c>
      <c r="K64" s="60"/>
      <c r="L64" s="94">
        <f>L59-L62</f>
        <v>98.012614493158708</v>
      </c>
      <c r="M64" s="94">
        <f>M59-M62</f>
        <v>174.64079479936913</v>
      </c>
      <c r="N64" s="94">
        <f>N59-N62</f>
        <v>263.83705103049749</v>
      </c>
      <c r="O64" s="94">
        <f>O59-O62</f>
        <v>367.33800666055561</v>
      </c>
      <c r="P64" s="94">
        <f>P59-P62</f>
        <v>496.9052865784422</v>
      </c>
    </row>
    <row r="65" spans="2:16" x14ac:dyDescent="0.3">
      <c r="B65" s="62" t="s">
        <v>142</v>
      </c>
      <c r="K65" s="60"/>
      <c r="L65" s="20">
        <f>L64/L52</f>
        <v>2.5539621706082181E-2</v>
      </c>
      <c r="M65" s="20">
        <f>M64/M52</f>
        <v>4.1369998014033356E-2</v>
      </c>
      <c r="N65" s="20">
        <f t="shared" ref="N65:P65" si="9">N64/N52</f>
        <v>5.6817601938046601E-2</v>
      </c>
      <c r="O65" s="20">
        <f t="shared" si="9"/>
        <v>7.191513424887809E-2</v>
      </c>
      <c r="P65" s="20">
        <f t="shared" si="9"/>
        <v>8.843727710105076E-2</v>
      </c>
    </row>
    <row r="66" spans="2:16" x14ac:dyDescent="0.3">
      <c r="K66" s="60"/>
    </row>
    <row r="67" spans="2:16" x14ac:dyDescent="0.3">
      <c r="B67" t="s">
        <v>145</v>
      </c>
      <c r="K67" s="60"/>
      <c r="L67" s="94">
        <f>L68*L64</f>
        <v>24.503153623289677</v>
      </c>
      <c r="M67" s="94">
        <f>M68*M64</f>
        <v>43.660198699842283</v>
      </c>
      <c r="N67" s="94">
        <f t="shared" ref="N67:P67" si="10">N68*N64</f>
        <v>65.959262757624373</v>
      </c>
      <c r="O67" s="94">
        <f t="shared" si="10"/>
        <v>91.834501665138902</v>
      </c>
      <c r="P67" s="94">
        <f t="shared" si="10"/>
        <v>124.22632164461055</v>
      </c>
    </row>
    <row r="68" spans="2:16" x14ac:dyDescent="0.3">
      <c r="B68" s="62" t="s">
        <v>146</v>
      </c>
      <c r="K68" s="60"/>
      <c r="L68" s="65">
        <f>F24</f>
        <v>0.25</v>
      </c>
      <c r="M68" s="65">
        <f>L68</f>
        <v>0.25</v>
      </c>
      <c r="N68" s="65">
        <f t="shared" ref="N68:P68" si="11">M68</f>
        <v>0.25</v>
      </c>
      <c r="O68" s="65">
        <f t="shared" si="11"/>
        <v>0.25</v>
      </c>
      <c r="P68" s="65">
        <f t="shared" si="11"/>
        <v>0.25</v>
      </c>
    </row>
    <row r="69" spans="2:16" x14ac:dyDescent="0.3">
      <c r="B69" s="62"/>
      <c r="K69" s="60"/>
    </row>
    <row r="70" spans="2:16" x14ac:dyDescent="0.3">
      <c r="B70" t="s">
        <v>147</v>
      </c>
      <c r="K70" s="60"/>
      <c r="L70" s="94">
        <f>L64-L67</f>
        <v>73.509460869869031</v>
      </c>
      <c r="M70" s="94">
        <f t="shared" ref="M70:P70" si="12">M64-M67</f>
        <v>130.98059609952685</v>
      </c>
      <c r="N70" s="94">
        <f t="shared" si="12"/>
        <v>197.87778827287312</v>
      </c>
      <c r="O70" s="94">
        <f t="shared" si="12"/>
        <v>275.50350499541673</v>
      </c>
      <c r="P70" s="94">
        <f t="shared" si="12"/>
        <v>372.67896493383165</v>
      </c>
    </row>
    <row r="71" spans="2:16" x14ac:dyDescent="0.3">
      <c r="B71" s="62" t="s">
        <v>142</v>
      </c>
      <c r="K71" s="60"/>
      <c r="L71" s="20">
        <f>L70/L52</f>
        <v>1.9154716279561636E-2</v>
      </c>
      <c r="M71" s="20">
        <f>M70/M52</f>
        <v>3.1027498510525019E-2</v>
      </c>
      <c r="N71" s="20">
        <f t="shared" ref="N71:P71" si="13">N70/N52</f>
        <v>4.2613201453534949E-2</v>
      </c>
      <c r="O71" s="20">
        <f>O70/O52</f>
        <v>5.3936350686658571E-2</v>
      </c>
      <c r="P71" s="20">
        <f t="shared" si="13"/>
        <v>6.632795782578807E-2</v>
      </c>
    </row>
    <row r="72" spans="2:16" x14ac:dyDescent="0.3">
      <c r="K72" s="60"/>
    </row>
    <row r="73" spans="2:16" ht="4.95" customHeight="1" x14ac:dyDescent="0.3"/>
    <row r="74" spans="2:16" x14ac:dyDescent="0.3">
      <c r="B74" s="31" t="s">
        <v>148</v>
      </c>
      <c r="C74" s="27"/>
      <c r="D74" s="27"/>
      <c r="E74" s="27"/>
      <c r="F74" s="27"/>
      <c r="G74" s="27"/>
      <c r="H74" s="27"/>
      <c r="I74" s="27"/>
      <c r="J74" s="27"/>
      <c r="K74" s="61">
        <v>45747</v>
      </c>
      <c r="L74" s="61">
        <v>46112</v>
      </c>
      <c r="M74" s="61">
        <v>46477</v>
      </c>
      <c r="N74" s="61">
        <v>46842</v>
      </c>
      <c r="O74" s="61">
        <v>47207</v>
      </c>
      <c r="P74" s="61">
        <v>47572</v>
      </c>
    </row>
    <row r="75" spans="2:16" ht="4.95" customHeight="1" x14ac:dyDescent="0.3"/>
    <row r="76" spans="2:16" x14ac:dyDescent="0.3">
      <c r="B76" t="s">
        <v>98</v>
      </c>
      <c r="K76" s="98">
        <f>F16</f>
        <v>371.3</v>
      </c>
      <c r="L76" s="94">
        <f>L77*L52</f>
        <v>408.43000000000006</v>
      </c>
      <c r="M76" s="94">
        <f t="shared" ref="M76:P76" si="14">M77*M52</f>
        <v>449.27300000000008</v>
      </c>
      <c r="N76" s="94">
        <f t="shared" si="14"/>
        <v>494.20030000000014</v>
      </c>
      <c r="O76" s="94">
        <f t="shared" si="14"/>
        <v>543.62033000000019</v>
      </c>
      <c r="P76" s="94">
        <f t="shared" si="14"/>
        <v>597.98236300000019</v>
      </c>
    </row>
    <row r="77" spans="2:16" x14ac:dyDescent="0.3">
      <c r="B77" s="62" t="s">
        <v>142</v>
      </c>
      <c r="K77" s="67">
        <f>K76/K52</f>
        <v>0.10642658342863859</v>
      </c>
      <c r="L77" s="65">
        <f>K77</f>
        <v>0.10642658342863859</v>
      </c>
      <c r="M77" s="65">
        <f>L77</f>
        <v>0.10642658342863859</v>
      </c>
      <c r="N77" s="65">
        <f t="shared" ref="N77:P77" si="15">M77</f>
        <v>0.10642658342863859</v>
      </c>
      <c r="O77" s="65">
        <f t="shared" si="15"/>
        <v>0.10642658342863859</v>
      </c>
      <c r="P77" s="65">
        <f t="shared" si="15"/>
        <v>0.10642658342863859</v>
      </c>
    </row>
    <row r="78" spans="2:16" x14ac:dyDescent="0.3">
      <c r="B78" s="62"/>
      <c r="K78" s="60"/>
    </row>
    <row r="79" spans="2:16" x14ac:dyDescent="0.3">
      <c r="B79" t="s">
        <v>149</v>
      </c>
      <c r="K79" s="98">
        <f>F17</f>
        <v>123</v>
      </c>
      <c r="L79" s="94">
        <f>L80*L52</f>
        <v>136.81410448150535</v>
      </c>
      <c r="M79" s="94">
        <f t="shared" ref="M79:P79" si="16">M80*M52</f>
        <v>150.49551492965588</v>
      </c>
      <c r="N79" s="94">
        <f t="shared" si="16"/>
        <v>165.54506642262149</v>
      </c>
      <c r="O79" s="94">
        <f t="shared" si="16"/>
        <v>182.09957306488363</v>
      </c>
      <c r="P79" s="94">
        <f t="shared" si="16"/>
        <v>200.30953037137201</v>
      </c>
    </row>
    <row r="80" spans="2:16" x14ac:dyDescent="0.3">
      <c r="B80" s="62" t="s">
        <v>142</v>
      </c>
      <c r="K80" s="67"/>
      <c r="L80" s="65">
        <f>F27</f>
        <v>3.5650313896666265E-2</v>
      </c>
      <c r="M80" s="65">
        <f>L80</f>
        <v>3.5650313896666265E-2</v>
      </c>
      <c r="N80" s="65">
        <f t="shared" ref="N80:P80" si="17">M80</f>
        <v>3.5650313896666265E-2</v>
      </c>
      <c r="O80" s="65">
        <f t="shared" si="17"/>
        <v>3.5650313896666265E-2</v>
      </c>
      <c r="P80" s="65">
        <f t="shared" si="17"/>
        <v>3.5650313896666265E-2</v>
      </c>
    </row>
    <row r="81" spans="2:16" x14ac:dyDescent="0.3">
      <c r="B81" t="s">
        <v>150</v>
      </c>
      <c r="K81" s="60"/>
      <c r="L81" s="94">
        <f>L79-K79</f>
        <v>13.814104481505353</v>
      </c>
      <c r="M81" s="94">
        <f t="shared" ref="M81:P81" si="18">M79-L79</f>
        <v>13.68141044815053</v>
      </c>
      <c r="N81" s="94">
        <f t="shared" si="18"/>
        <v>15.049551492965605</v>
      </c>
      <c r="O81" s="94">
        <f t="shared" si="18"/>
        <v>16.55450664226214</v>
      </c>
      <c r="P81" s="94">
        <f t="shared" si="18"/>
        <v>18.209957306488377</v>
      </c>
    </row>
    <row r="82" spans="2:16" x14ac:dyDescent="0.3">
      <c r="B82" s="62"/>
      <c r="K82" s="60"/>
    </row>
    <row r="83" spans="2:16" x14ac:dyDescent="0.3">
      <c r="B83" t="s">
        <v>100</v>
      </c>
      <c r="K83" s="98">
        <f>F18</f>
        <v>69</v>
      </c>
      <c r="L83" s="94">
        <f>L84*L52</f>
        <v>75.900000000000006</v>
      </c>
      <c r="M83" s="94">
        <f t="shared" ref="M83:P83" si="19">M84*M52</f>
        <v>83.49</v>
      </c>
      <c r="N83" s="94">
        <f t="shared" si="19"/>
        <v>91.839000000000013</v>
      </c>
      <c r="O83" s="94">
        <f t="shared" si="19"/>
        <v>101.02290000000002</v>
      </c>
      <c r="P83" s="94">
        <f t="shared" si="19"/>
        <v>111.12519000000003</v>
      </c>
    </row>
    <row r="84" spans="2:16" x14ac:dyDescent="0.3">
      <c r="B84" s="62" t="s">
        <v>142</v>
      </c>
      <c r="K84" s="67">
        <f>K83/K52</f>
        <v>1.9777630639849345E-2</v>
      </c>
      <c r="L84" s="65">
        <f>K84</f>
        <v>1.9777630639849345E-2</v>
      </c>
      <c r="M84" s="65">
        <f t="shared" ref="M84:P84" si="20">L84</f>
        <v>1.9777630639849345E-2</v>
      </c>
      <c r="N84" s="65">
        <f t="shared" si="20"/>
        <v>1.9777630639849345E-2</v>
      </c>
      <c r="O84" s="65">
        <f t="shared" si="20"/>
        <v>1.9777630639849345E-2</v>
      </c>
      <c r="P84" s="65">
        <f t="shared" si="20"/>
        <v>1.9777630639849345E-2</v>
      </c>
    </row>
    <row r="85" spans="2:16" ht="4.95" customHeight="1" x14ac:dyDescent="0.3"/>
    <row r="86" spans="2:16" x14ac:dyDescent="0.3">
      <c r="B86" s="31" t="s">
        <v>152</v>
      </c>
      <c r="C86" s="27"/>
      <c r="D86" s="27"/>
      <c r="E86" s="27"/>
      <c r="F86" s="27"/>
      <c r="G86" s="27"/>
      <c r="H86" s="27"/>
      <c r="I86" s="27"/>
      <c r="J86" s="27"/>
      <c r="K86" s="61">
        <v>45747</v>
      </c>
      <c r="L86" s="61">
        <v>46112</v>
      </c>
      <c r="M86" s="61">
        <v>46477</v>
      </c>
      <c r="N86" s="61">
        <v>46842</v>
      </c>
      <c r="O86" s="61">
        <v>47207</v>
      </c>
      <c r="P86" s="61">
        <v>47572</v>
      </c>
    </row>
    <row r="87" spans="2:16" ht="4.95" customHeight="1" x14ac:dyDescent="0.3"/>
    <row r="88" spans="2:16" x14ac:dyDescent="0.3">
      <c r="B88" t="s">
        <v>147</v>
      </c>
      <c r="K88" s="60"/>
      <c r="L88" s="94">
        <f>L70</f>
        <v>73.509460869869031</v>
      </c>
      <c r="M88" s="94">
        <f t="shared" ref="M88:P88" si="21">M70</f>
        <v>130.98059609952685</v>
      </c>
      <c r="N88" s="94">
        <f t="shared" si="21"/>
        <v>197.87778827287312</v>
      </c>
      <c r="O88" s="94">
        <f t="shared" si="21"/>
        <v>275.50350499541673</v>
      </c>
      <c r="P88" s="94">
        <f t="shared" si="21"/>
        <v>372.67896493383165</v>
      </c>
    </row>
    <row r="89" spans="2:16" x14ac:dyDescent="0.3">
      <c r="B89" t="s">
        <v>98</v>
      </c>
      <c r="K89" s="60"/>
      <c r="L89" s="94">
        <f>L76</f>
        <v>408.43000000000006</v>
      </c>
      <c r="M89" s="94">
        <f t="shared" ref="M89:P89" si="22">M76</f>
        <v>449.27300000000008</v>
      </c>
      <c r="N89" s="94">
        <f t="shared" si="22"/>
        <v>494.20030000000014</v>
      </c>
      <c r="O89" s="94">
        <f t="shared" si="22"/>
        <v>543.62033000000019</v>
      </c>
      <c r="P89" s="94">
        <f t="shared" si="22"/>
        <v>597.98236300000019</v>
      </c>
    </row>
    <row r="90" spans="2:16" x14ac:dyDescent="0.3">
      <c r="B90" t="s">
        <v>100</v>
      </c>
      <c r="K90" s="60"/>
      <c r="L90" s="94">
        <f>L83</f>
        <v>75.900000000000006</v>
      </c>
      <c r="M90" s="94">
        <f t="shared" ref="M90:P90" si="23">M83</f>
        <v>83.49</v>
      </c>
      <c r="N90" s="94">
        <f t="shared" si="23"/>
        <v>91.839000000000013</v>
      </c>
      <c r="O90" s="94">
        <f t="shared" si="23"/>
        <v>101.02290000000002</v>
      </c>
      <c r="P90" s="94">
        <f t="shared" si="23"/>
        <v>111.12519000000003</v>
      </c>
    </row>
    <row r="91" spans="2:16" x14ac:dyDescent="0.3">
      <c r="B91" t="s">
        <v>151</v>
      </c>
      <c r="K91" s="60"/>
      <c r="L91" s="94">
        <f>L81</f>
        <v>13.814104481505353</v>
      </c>
      <c r="M91" s="94">
        <f t="shared" ref="M91:P91" si="24">M81</f>
        <v>13.68141044815053</v>
      </c>
      <c r="N91" s="94">
        <f t="shared" si="24"/>
        <v>15.049551492965605</v>
      </c>
      <c r="O91" s="94">
        <f t="shared" si="24"/>
        <v>16.55450664226214</v>
      </c>
      <c r="P91" s="94">
        <f t="shared" si="24"/>
        <v>18.209957306488377</v>
      </c>
    </row>
    <row r="92" spans="2:16" ht="4.95" customHeight="1" x14ac:dyDescent="0.3">
      <c r="L92" s="94"/>
      <c r="M92" s="94"/>
      <c r="N92" s="94"/>
      <c r="O92" s="94"/>
      <c r="P92" s="94"/>
    </row>
    <row r="93" spans="2:16" x14ac:dyDescent="0.3">
      <c r="B93" s="52" t="s">
        <v>152</v>
      </c>
      <c r="C93" s="53"/>
      <c r="D93" s="53"/>
      <c r="E93" s="53"/>
      <c r="F93" s="53"/>
      <c r="G93" s="53"/>
      <c r="H93" s="53"/>
      <c r="I93" s="53"/>
      <c r="J93" s="53"/>
      <c r="K93" s="53"/>
      <c r="L93" s="97">
        <f>L88+L89-L90-L91</f>
        <v>392.22535638836376</v>
      </c>
      <c r="M93" s="97">
        <f t="shared" ref="M93:P93" si="25">M88+M89-M90-M91</f>
        <v>483.08218565137639</v>
      </c>
      <c r="N93" s="97">
        <f t="shared" si="25"/>
        <v>585.1895367799076</v>
      </c>
      <c r="O93" s="97">
        <f t="shared" si="25"/>
        <v>701.54642835315474</v>
      </c>
      <c r="P93" s="97">
        <f t="shared" si="25"/>
        <v>841.32618062734355</v>
      </c>
    </row>
    <row r="95" spans="2:16" x14ac:dyDescent="0.3">
      <c r="B95" s="45" t="s">
        <v>153</v>
      </c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</row>
    <row r="96" spans="2:16" ht="4.95" customHeight="1" x14ac:dyDescent="0.3"/>
    <row r="97" spans="2:19" x14ac:dyDescent="0.3">
      <c r="B97" s="31"/>
      <c r="C97" s="27"/>
      <c r="D97" s="27"/>
      <c r="E97" s="27"/>
      <c r="F97" s="27"/>
      <c r="G97" s="27"/>
      <c r="H97" s="27"/>
      <c r="I97" s="27"/>
      <c r="J97" s="27"/>
      <c r="K97" s="61"/>
      <c r="L97" s="61">
        <v>46112</v>
      </c>
      <c r="M97" s="61">
        <v>46477</v>
      </c>
      <c r="N97" s="61">
        <v>46842</v>
      </c>
      <c r="O97" s="61">
        <v>47207</v>
      </c>
      <c r="P97" s="61">
        <v>47572</v>
      </c>
    </row>
    <row r="98" spans="2:19" ht="4.95" customHeight="1" x14ac:dyDescent="0.3"/>
    <row r="99" spans="2:19" x14ac:dyDescent="0.3">
      <c r="B99" s="2" t="s">
        <v>127</v>
      </c>
      <c r="K99" s="60"/>
    </row>
    <row r="100" spans="2:19" x14ac:dyDescent="0.3">
      <c r="B100" t="s">
        <v>154</v>
      </c>
      <c r="D100" s="63"/>
      <c r="E100" s="63"/>
      <c r="F100" s="63"/>
      <c r="G100" s="63"/>
      <c r="H100" s="63"/>
      <c r="K100" s="99"/>
      <c r="L100" s="100">
        <f>K103</f>
        <v>1442.2200000000003</v>
      </c>
      <c r="M100" s="100">
        <f t="shared" ref="M100:P100" si="26">L103</f>
        <v>1049.9946436116365</v>
      </c>
      <c r="N100" s="100">
        <f t="shared" si="26"/>
        <v>566.9124579602601</v>
      </c>
      <c r="O100" s="100">
        <f t="shared" si="26"/>
        <v>0</v>
      </c>
      <c r="P100" s="100">
        <f t="shared" si="26"/>
        <v>0</v>
      </c>
    </row>
    <row r="101" spans="2:19" x14ac:dyDescent="0.3">
      <c r="B101" t="s">
        <v>155</v>
      </c>
      <c r="D101" s="63"/>
      <c r="E101" s="63"/>
      <c r="F101" s="63"/>
      <c r="G101" s="63"/>
      <c r="H101" s="63"/>
      <c r="K101" s="101"/>
      <c r="L101" s="102">
        <f>L100*$F$32</f>
        <v>137.01090000000002</v>
      </c>
      <c r="M101" s="102">
        <f>M100*$F$32</f>
        <v>99.749491143105473</v>
      </c>
      <c r="N101" s="102">
        <f>N100*$F$32</f>
        <v>53.856683506224712</v>
      </c>
      <c r="O101" s="102">
        <f>O100*$F$32</f>
        <v>0</v>
      </c>
      <c r="P101" s="102">
        <f>P100*$F$32</f>
        <v>0</v>
      </c>
    </row>
    <row r="102" spans="2:19" x14ac:dyDescent="0.3">
      <c r="B102" s="64" t="s">
        <v>156</v>
      </c>
      <c r="C102" s="64"/>
      <c r="D102" s="69"/>
      <c r="E102" s="69"/>
      <c r="F102" s="69"/>
      <c r="G102" s="69"/>
      <c r="H102" s="69"/>
      <c r="I102" s="64"/>
      <c r="K102" s="103"/>
      <c r="L102" s="104">
        <f>MIN(L93,L100)</f>
        <v>392.22535638836376</v>
      </c>
      <c r="M102" s="104">
        <f t="shared" ref="M102:P102" si="27">MIN(M93,M100)</f>
        <v>483.08218565137639</v>
      </c>
      <c r="N102" s="104">
        <f t="shared" si="27"/>
        <v>566.9124579602601</v>
      </c>
      <c r="O102" s="104">
        <f t="shared" si="27"/>
        <v>0</v>
      </c>
      <c r="P102" s="104">
        <f t="shared" si="27"/>
        <v>0</v>
      </c>
    </row>
    <row r="103" spans="2:19" x14ac:dyDescent="0.3">
      <c r="B103" s="2" t="s">
        <v>157</v>
      </c>
      <c r="C103" s="2"/>
      <c r="D103" s="70"/>
      <c r="E103" s="70"/>
      <c r="F103" s="70"/>
      <c r="G103" s="70"/>
      <c r="H103" s="70"/>
      <c r="I103" s="2"/>
      <c r="J103" s="50"/>
      <c r="K103" s="105">
        <f>E39</f>
        <v>1442.2200000000003</v>
      </c>
      <c r="L103" s="95">
        <f>L100-L102</f>
        <v>1049.9946436116365</v>
      </c>
      <c r="M103" s="95">
        <f>M100-M102</f>
        <v>566.9124579602601</v>
      </c>
      <c r="N103" s="95">
        <f t="shared" ref="N103:P103" si="28">N100-N102</f>
        <v>0</v>
      </c>
      <c r="O103" s="95">
        <f t="shared" si="28"/>
        <v>0</v>
      </c>
      <c r="P103" s="95">
        <f t="shared" si="28"/>
        <v>0</v>
      </c>
    </row>
    <row r="104" spans="2:19" x14ac:dyDescent="0.3">
      <c r="B104" s="2"/>
      <c r="C104" s="2"/>
      <c r="D104" s="70"/>
      <c r="E104" s="70"/>
      <c r="F104" s="70"/>
      <c r="G104" s="70"/>
      <c r="H104" s="70"/>
      <c r="I104" s="2"/>
      <c r="K104" s="72"/>
      <c r="L104" s="73"/>
      <c r="M104" s="73"/>
      <c r="N104" s="73"/>
      <c r="O104" s="73"/>
      <c r="P104" s="73"/>
    </row>
    <row r="105" spans="2:19" x14ac:dyDescent="0.3">
      <c r="B105" s="2" t="s">
        <v>158</v>
      </c>
      <c r="C105" s="2"/>
      <c r="D105" s="70"/>
      <c r="E105" s="70"/>
      <c r="F105" s="70"/>
      <c r="G105" s="70"/>
      <c r="H105" s="70"/>
      <c r="I105" s="2"/>
      <c r="K105" s="72"/>
      <c r="L105" s="73"/>
      <c r="M105" s="73"/>
      <c r="N105" s="73"/>
      <c r="O105" s="73"/>
      <c r="P105" s="73"/>
    </row>
    <row r="106" spans="2:19" x14ac:dyDescent="0.3">
      <c r="E106" s="70"/>
      <c r="F106" s="70"/>
      <c r="G106" s="70"/>
      <c r="H106" s="70"/>
      <c r="I106" s="2"/>
      <c r="K106" s="98"/>
      <c r="L106" s="106">
        <f>L93-L102</f>
        <v>0</v>
      </c>
      <c r="M106" s="95">
        <f>M93-M102</f>
        <v>0</v>
      </c>
      <c r="N106" s="95">
        <f>N93-N102</f>
        <v>18.2770788196475</v>
      </c>
      <c r="O106" s="95">
        <f>O93-O102</f>
        <v>701.54642835315474</v>
      </c>
      <c r="P106" s="95">
        <f>P93-P102</f>
        <v>841.32618062734355</v>
      </c>
      <c r="Q106" s="70"/>
    </row>
    <row r="107" spans="2:19" x14ac:dyDescent="0.3">
      <c r="K107" s="74"/>
      <c r="L107" s="66"/>
      <c r="M107" s="66"/>
      <c r="N107" s="66"/>
      <c r="O107" s="66"/>
      <c r="P107" s="66"/>
    </row>
    <row r="108" spans="2:19" x14ac:dyDescent="0.3">
      <c r="B108" s="2" t="s">
        <v>128</v>
      </c>
      <c r="K108" s="74"/>
      <c r="L108" s="66"/>
      <c r="M108" s="66"/>
      <c r="N108" s="66"/>
      <c r="O108" s="66"/>
      <c r="P108" s="66"/>
      <c r="S108" s="63"/>
    </row>
    <row r="109" spans="2:19" x14ac:dyDescent="0.3">
      <c r="B109" t="s">
        <v>154</v>
      </c>
      <c r="D109" s="63"/>
      <c r="E109" s="63"/>
      <c r="F109" s="63"/>
      <c r="G109" s="63"/>
      <c r="H109" s="63"/>
      <c r="K109" s="99"/>
      <c r="L109" s="100">
        <f>K112</f>
        <v>1442.2200000000003</v>
      </c>
      <c r="M109" s="100">
        <f t="shared" ref="M109:P109" si="29">L112</f>
        <v>1442.2200000000003</v>
      </c>
      <c r="N109" s="100">
        <f t="shared" si="29"/>
        <v>1442.2200000000003</v>
      </c>
      <c r="O109" s="100">
        <f t="shared" si="29"/>
        <v>1423.9429211803526</v>
      </c>
      <c r="P109" s="100">
        <f t="shared" si="29"/>
        <v>722.3964928271979</v>
      </c>
    </row>
    <row r="110" spans="2:19" x14ac:dyDescent="0.3">
      <c r="B110" t="s">
        <v>155</v>
      </c>
      <c r="D110" s="63"/>
      <c r="E110" s="63"/>
      <c r="F110" s="63"/>
      <c r="G110" s="63"/>
      <c r="H110" s="63"/>
      <c r="K110" s="101"/>
      <c r="L110" s="102">
        <f>L109*$F$33</f>
        <v>158.64420000000004</v>
      </c>
      <c r="M110" s="102">
        <f t="shared" ref="M110:P110" si="30">M109*$F$33</f>
        <v>158.64420000000004</v>
      </c>
      <c r="N110" s="102">
        <f t="shared" si="30"/>
        <v>158.64420000000004</v>
      </c>
      <c r="O110" s="102">
        <f t="shared" si="30"/>
        <v>156.63372132983878</v>
      </c>
      <c r="P110" s="102">
        <f t="shared" si="30"/>
        <v>79.463614210991764</v>
      </c>
    </row>
    <row r="111" spans="2:19" x14ac:dyDescent="0.3">
      <c r="B111" s="64" t="s">
        <v>156</v>
      </c>
      <c r="C111" s="64"/>
      <c r="D111" s="69"/>
      <c r="E111" s="69"/>
      <c r="F111" s="69"/>
      <c r="G111" s="69"/>
      <c r="H111" s="69"/>
      <c r="I111" s="64"/>
      <c r="K111" s="103"/>
      <c r="L111" s="104">
        <f>MIN(L106,L109)</f>
        <v>0</v>
      </c>
      <c r="M111" s="104">
        <f>MIN(M106,M109)</f>
        <v>0</v>
      </c>
      <c r="N111" s="104">
        <f t="shared" ref="N111:P111" si="31">MIN(N106,N109)</f>
        <v>18.2770788196475</v>
      </c>
      <c r="O111" s="104">
        <f t="shared" si="31"/>
        <v>701.54642835315474</v>
      </c>
      <c r="P111" s="104">
        <f t="shared" si="31"/>
        <v>722.3964928271979</v>
      </c>
    </row>
    <row r="112" spans="2:19" x14ac:dyDescent="0.3">
      <c r="B112" s="2" t="s">
        <v>157</v>
      </c>
      <c r="C112" s="2"/>
      <c r="D112" s="70"/>
      <c r="E112" s="70"/>
      <c r="F112" s="70"/>
      <c r="G112" s="70"/>
      <c r="H112" s="70"/>
      <c r="I112" s="2"/>
      <c r="J112" s="50"/>
      <c r="K112" s="105">
        <f>E40</f>
        <v>1442.2200000000003</v>
      </c>
      <c r="L112" s="95">
        <f>L109-L111</f>
        <v>1442.2200000000003</v>
      </c>
      <c r="M112" s="95">
        <f>M109-M111</f>
        <v>1442.2200000000003</v>
      </c>
      <c r="N112" s="95">
        <f t="shared" ref="N112:P112" si="32">N109-N111</f>
        <v>1423.9429211803526</v>
      </c>
      <c r="O112" s="95">
        <f t="shared" si="32"/>
        <v>722.3964928271979</v>
      </c>
      <c r="P112" s="95">
        <f t="shared" si="32"/>
        <v>0</v>
      </c>
    </row>
    <row r="113" spans="2:16" x14ac:dyDescent="0.3">
      <c r="K113" s="74"/>
      <c r="L113" s="66"/>
      <c r="M113" s="66"/>
      <c r="N113" s="66"/>
      <c r="O113" s="66"/>
      <c r="P113" s="66"/>
    </row>
    <row r="114" spans="2:16" x14ac:dyDescent="0.3">
      <c r="B114" s="2" t="s">
        <v>159</v>
      </c>
      <c r="K114" s="74"/>
      <c r="L114" s="66"/>
      <c r="M114" s="66"/>
      <c r="N114" s="66"/>
      <c r="O114" s="66"/>
      <c r="P114" s="66"/>
    </row>
    <row r="115" spans="2:16" x14ac:dyDescent="0.3">
      <c r="B115" t="s">
        <v>154</v>
      </c>
      <c r="K115" s="74"/>
      <c r="L115" s="94">
        <f t="shared" ref="L115:M118" si="33">L100+L109</f>
        <v>2884.4400000000005</v>
      </c>
      <c r="M115" s="94">
        <f t="shared" si="33"/>
        <v>2492.2146436116368</v>
      </c>
      <c r="N115" s="94">
        <f t="shared" ref="N115:P115" si="34">N100+N109</f>
        <v>2009.1324579602604</v>
      </c>
      <c r="O115" s="94">
        <f t="shared" si="34"/>
        <v>1423.9429211803526</v>
      </c>
      <c r="P115" s="94">
        <f t="shared" si="34"/>
        <v>722.3964928271979</v>
      </c>
    </row>
    <row r="116" spans="2:16" x14ac:dyDescent="0.3">
      <c r="B116" t="s">
        <v>155</v>
      </c>
      <c r="K116" s="74"/>
      <c r="L116" s="94">
        <f t="shared" si="33"/>
        <v>295.65510000000006</v>
      </c>
      <c r="M116" s="94">
        <f t="shared" si="33"/>
        <v>258.39369114310551</v>
      </c>
      <c r="N116" s="94">
        <f t="shared" ref="N116:P116" si="35">N101+N110</f>
        <v>212.50088350622474</v>
      </c>
      <c r="O116" s="94">
        <f t="shared" si="35"/>
        <v>156.63372132983878</v>
      </c>
      <c r="P116" s="94">
        <f t="shared" si="35"/>
        <v>79.463614210991764</v>
      </c>
    </row>
    <row r="117" spans="2:16" x14ac:dyDescent="0.3">
      <c r="B117" t="s">
        <v>156</v>
      </c>
      <c r="K117" s="74"/>
      <c r="L117" s="94">
        <f t="shared" si="33"/>
        <v>392.22535638836376</v>
      </c>
      <c r="M117" s="94">
        <f t="shared" si="33"/>
        <v>483.08218565137639</v>
      </c>
      <c r="N117" s="94">
        <f>SUM(N111,N102)</f>
        <v>585.1895367799076</v>
      </c>
      <c r="O117" s="94">
        <f t="shared" ref="O117:P117" si="36">O102+O111</f>
        <v>701.54642835315474</v>
      </c>
      <c r="P117" s="94">
        <f t="shared" si="36"/>
        <v>722.3964928271979</v>
      </c>
    </row>
    <row r="118" spans="2:16" x14ac:dyDescent="0.3">
      <c r="B118" s="49" t="s">
        <v>157</v>
      </c>
      <c r="C118" s="49"/>
      <c r="D118" s="49"/>
      <c r="E118" s="49"/>
      <c r="F118" s="49"/>
      <c r="G118" s="49"/>
      <c r="H118" s="49"/>
      <c r="I118" s="49"/>
      <c r="J118" s="49"/>
      <c r="K118" s="75"/>
      <c r="L118" s="107">
        <f t="shared" si="33"/>
        <v>2492.2146436116368</v>
      </c>
      <c r="M118" s="107">
        <f t="shared" si="33"/>
        <v>2009.1324579602604</v>
      </c>
      <c r="N118" s="107">
        <f t="shared" ref="N118:P118" si="37">N103+N112</f>
        <v>1423.9429211803526</v>
      </c>
      <c r="O118" s="107">
        <f t="shared" si="37"/>
        <v>722.3964928271979</v>
      </c>
      <c r="P118" s="107">
        <f t="shared" si="37"/>
        <v>0</v>
      </c>
    </row>
    <row r="120" spans="2:16" x14ac:dyDescent="0.3">
      <c r="B120" s="45" t="s">
        <v>131</v>
      </c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</row>
    <row r="121" spans="2:16" ht="4.95" customHeight="1" x14ac:dyDescent="0.3"/>
    <row r="122" spans="2:16" x14ac:dyDescent="0.3">
      <c r="B122" t="s">
        <v>160</v>
      </c>
      <c r="P122" s="94">
        <f>P55</f>
        <v>1174.3512637894341</v>
      </c>
    </row>
    <row r="123" spans="2:16" x14ac:dyDescent="0.3">
      <c r="B123" t="s">
        <v>161</v>
      </c>
      <c r="P123" s="84">
        <v>24</v>
      </c>
    </row>
    <row r="124" spans="2:16" x14ac:dyDescent="0.3">
      <c r="B124" s="50" t="s">
        <v>162</v>
      </c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96">
        <f>P122*P123</f>
        <v>28184.430330946419</v>
      </c>
    </row>
    <row r="125" spans="2:16" x14ac:dyDescent="0.3">
      <c r="B125" t="s">
        <v>163</v>
      </c>
      <c r="P125" s="66">
        <f>P118</f>
        <v>0</v>
      </c>
    </row>
    <row r="126" spans="2:16" x14ac:dyDescent="0.3">
      <c r="B126" s="52" t="s">
        <v>164</v>
      </c>
      <c r="C126" s="53"/>
      <c r="D126" s="53"/>
      <c r="E126" s="53"/>
      <c r="F126" s="53"/>
      <c r="G126" s="53"/>
      <c r="H126" s="53"/>
      <c r="I126" s="53"/>
      <c r="J126" s="53"/>
      <c r="K126" s="53"/>
      <c r="L126" s="68"/>
      <c r="M126" s="68"/>
      <c r="N126" s="68"/>
      <c r="O126" s="68"/>
      <c r="P126" s="108">
        <f>P124-P125</f>
        <v>28184.430330946419</v>
      </c>
    </row>
    <row r="127" spans="2:16" ht="4.95" customHeight="1" x14ac:dyDescent="0.3"/>
    <row r="128" spans="2:16" x14ac:dyDescent="0.3">
      <c r="B128" t="s">
        <v>165</v>
      </c>
      <c r="P128" s="109">
        <f>E44</f>
        <v>13965.26302</v>
      </c>
    </row>
    <row r="129" spans="2:16" ht="4.95" customHeight="1" x14ac:dyDescent="0.3"/>
    <row r="130" spans="2:16" x14ac:dyDescent="0.3">
      <c r="B130" s="76" t="s">
        <v>130</v>
      </c>
      <c r="C130" s="77"/>
      <c r="D130" s="77"/>
      <c r="E130" s="77"/>
      <c r="F130" s="77"/>
      <c r="G130" s="77"/>
      <c r="H130" s="77"/>
      <c r="I130" s="77"/>
      <c r="J130" s="77"/>
      <c r="K130" s="77"/>
      <c r="L130" s="78"/>
      <c r="M130" s="78"/>
      <c r="N130" s="78"/>
      <c r="O130" s="78"/>
      <c r="P130" s="83">
        <f>P126/P128</f>
        <v>2.0181811320404632</v>
      </c>
    </row>
    <row r="131" spans="2:16" x14ac:dyDescent="0.3">
      <c r="B131" s="79" t="s">
        <v>131</v>
      </c>
      <c r="C131" s="80"/>
      <c r="D131" s="80"/>
      <c r="E131" s="80"/>
      <c r="F131" s="80"/>
      <c r="G131" s="80"/>
      <c r="H131" s="80"/>
      <c r="I131" s="80"/>
      <c r="J131" s="80"/>
      <c r="K131" s="80"/>
      <c r="L131" s="81"/>
      <c r="M131" s="81"/>
      <c r="N131" s="81"/>
      <c r="O131" s="81"/>
      <c r="P131" s="82">
        <f>P130^(1/5)-1</f>
        <v>0.15077926567623279</v>
      </c>
    </row>
  </sheetData>
  <pageMargins left="0.7" right="0.7" top="0.75" bottom="0.75" header="0.3" footer="0.3"/>
  <pageSetup scale="79" orientation="landscape" r:id="rId1"/>
  <rowBreaks count="1" manualBreakCount="1">
    <brk id="46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14083-5B39-432D-B938-CACB3FC65B2A}">
  <dimension ref="B2:K25"/>
  <sheetViews>
    <sheetView showGridLines="0" zoomScale="121" workbookViewId="0">
      <selection activeCell="J14" sqref="J14"/>
    </sheetView>
  </sheetViews>
  <sheetFormatPr defaultRowHeight="14.4" x14ac:dyDescent="0.3"/>
  <cols>
    <col min="1" max="1" width="2.33203125" customWidth="1"/>
    <col min="2" max="2" width="18.77734375" customWidth="1"/>
    <col min="3" max="3" width="10.88671875" customWidth="1"/>
    <col min="6" max="6" width="9.5546875" bestFit="1" customWidth="1"/>
  </cols>
  <sheetData>
    <row r="2" spans="2:11" x14ac:dyDescent="0.3">
      <c r="B2" s="2" t="s">
        <v>83</v>
      </c>
    </row>
    <row r="3" spans="2:11" x14ac:dyDescent="0.3">
      <c r="B3" t="s">
        <v>75</v>
      </c>
      <c r="F3" s="18">
        <v>1066.0999999999999</v>
      </c>
    </row>
    <row r="4" spans="2:11" x14ac:dyDescent="0.3">
      <c r="B4" t="s">
        <v>76</v>
      </c>
      <c r="F4" s="18">
        <v>13702.32</v>
      </c>
      <c r="K4">
        <v>10000000</v>
      </c>
    </row>
    <row r="5" spans="2:11" x14ac:dyDescent="0.3">
      <c r="B5" t="s">
        <v>77</v>
      </c>
      <c r="F5" s="24">
        <v>12.852753025044557</v>
      </c>
    </row>
    <row r="6" spans="2:11" x14ac:dyDescent="0.3">
      <c r="B6" t="s">
        <v>78</v>
      </c>
      <c r="F6" s="18">
        <v>14537</v>
      </c>
    </row>
    <row r="7" spans="2:11" x14ac:dyDescent="0.3">
      <c r="B7" t="s">
        <v>79</v>
      </c>
      <c r="F7" s="18">
        <v>1378</v>
      </c>
    </row>
    <row r="8" spans="2:11" x14ac:dyDescent="0.3">
      <c r="B8" t="s">
        <v>80</v>
      </c>
      <c r="F8" s="18">
        <v>543</v>
      </c>
    </row>
    <row r="9" spans="2:11" x14ac:dyDescent="0.3">
      <c r="B9" t="s">
        <v>81</v>
      </c>
      <c r="F9" s="18">
        <v>721.11000000000013</v>
      </c>
    </row>
    <row r="10" spans="2:11" x14ac:dyDescent="0.3">
      <c r="B10" t="s">
        <v>82</v>
      </c>
      <c r="F10" s="18">
        <v>3450.18</v>
      </c>
    </row>
    <row r="12" spans="2:11" x14ac:dyDescent="0.3">
      <c r="B12" s="2" t="s">
        <v>84</v>
      </c>
    </row>
    <row r="13" spans="2:11" x14ac:dyDescent="0.3">
      <c r="B13" t="s">
        <v>85</v>
      </c>
      <c r="E13" s="21">
        <v>0.1</v>
      </c>
    </row>
    <row r="14" spans="2:11" x14ac:dyDescent="0.3">
      <c r="B14" t="s">
        <v>86</v>
      </c>
      <c r="E14" s="21">
        <v>0.20900648661808999</v>
      </c>
    </row>
    <row r="15" spans="2:11" x14ac:dyDescent="0.3">
      <c r="B15" t="s">
        <v>88</v>
      </c>
      <c r="E15" s="21">
        <f>69/F10</f>
        <v>1.9998956576178634E-2</v>
      </c>
    </row>
    <row r="16" spans="2:11" x14ac:dyDescent="0.3">
      <c r="B16" t="s">
        <v>87</v>
      </c>
      <c r="E16" s="21">
        <f>G23/F10</f>
        <v>3.5650313896666265E-2</v>
      </c>
    </row>
    <row r="19" spans="2:7" x14ac:dyDescent="0.3">
      <c r="C19" s="22">
        <v>44256</v>
      </c>
      <c r="D19" s="22">
        <v>44621</v>
      </c>
      <c r="E19" s="22">
        <v>44986</v>
      </c>
      <c r="F19" s="22">
        <v>45352</v>
      </c>
      <c r="G19" s="22">
        <v>45717</v>
      </c>
    </row>
    <row r="20" spans="2:7" x14ac:dyDescent="0.3">
      <c r="B20" t="s">
        <v>63</v>
      </c>
      <c r="C20">
        <v>17</v>
      </c>
      <c r="D20">
        <v>11</v>
      </c>
      <c r="E20">
        <v>9</v>
      </c>
      <c r="F20">
        <v>8</v>
      </c>
      <c r="G20">
        <v>12</v>
      </c>
    </row>
    <row r="21" spans="2:7" x14ac:dyDescent="0.3">
      <c r="B21" t="s">
        <v>43</v>
      </c>
      <c r="C21">
        <v>265</v>
      </c>
      <c r="D21">
        <v>292</v>
      </c>
      <c r="E21">
        <v>218</v>
      </c>
      <c r="F21">
        <v>227</v>
      </c>
      <c r="G21">
        <v>195</v>
      </c>
    </row>
    <row r="22" spans="2:7" x14ac:dyDescent="0.3">
      <c r="B22" t="s">
        <v>89</v>
      </c>
      <c r="C22">
        <v>192</v>
      </c>
      <c r="D22">
        <v>153</v>
      </c>
      <c r="E22">
        <v>99</v>
      </c>
      <c r="F22">
        <v>73</v>
      </c>
      <c r="G22">
        <v>84</v>
      </c>
    </row>
    <row r="23" spans="2:7" x14ac:dyDescent="0.3">
      <c r="B23" t="s">
        <v>90</v>
      </c>
      <c r="C23">
        <f>C20+C21-C22</f>
        <v>90</v>
      </c>
      <c r="D23">
        <f t="shared" ref="D23:F23" si="0">D20+D21-D22</f>
        <v>150</v>
      </c>
      <c r="E23">
        <f t="shared" si="0"/>
        <v>128</v>
      </c>
      <c r="F23">
        <f t="shared" si="0"/>
        <v>162</v>
      </c>
      <c r="G23">
        <f>G20+G21-G22</f>
        <v>123</v>
      </c>
    </row>
    <row r="24" spans="2:7" x14ac:dyDescent="0.3">
      <c r="B24" t="s">
        <v>91</v>
      </c>
      <c r="C24" s="23" t="str">
        <f>IFERROR(C23-B23,"--")</f>
        <v>--</v>
      </c>
      <c r="D24" s="23">
        <f>IFERROR(D23-C23,"--")</f>
        <v>60</v>
      </c>
      <c r="E24" s="23">
        <f>IFERROR(E23-D23,"--")</f>
        <v>-22</v>
      </c>
      <c r="F24" s="23">
        <f t="shared" ref="F24:G24" si="1">IFERROR(F23-E23,"--")</f>
        <v>34</v>
      </c>
      <c r="G24" s="23">
        <f t="shared" si="1"/>
        <v>-39</v>
      </c>
    </row>
    <row r="25" spans="2:7" x14ac:dyDescent="0.3">
      <c r="B25" t="s">
        <v>92</v>
      </c>
      <c r="C25">
        <f>AVERAGE(D24:G24)</f>
        <v>8.25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9"/>
  <sheetViews>
    <sheetView zoomScale="120" zoomScaleNormal="120" zoomScaleSheetLayoutView="100" zoomScalePageLayoutView="120" workbookViewId="0">
      <pane xSplit="1" ySplit="4" topLeftCell="B8" activePane="bottomRight" state="frozen"/>
      <selection activeCell="I2" sqref="I2"/>
      <selection pane="topRight" activeCell="I2" sqref="I2"/>
      <selection pane="bottomLeft" activeCell="I2" sqref="I2"/>
      <selection pane="bottomRight" activeCell="B15" sqref="B15:K15"/>
    </sheetView>
  </sheetViews>
  <sheetFormatPr defaultColWidth="8.77734375" defaultRowHeight="14.4" x14ac:dyDescent="0.3"/>
  <cols>
    <col min="1" max="1" width="20.6640625" customWidth="1"/>
    <col min="2" max="6" width="13.44140625" customWidth="1"/>
    <col min="7" max="7" width="14.77734375" bestFit="1" customWidth="1"/>
    <col min="8" max="11" width="13.44140625" customWidth="1"/>
    <col min="12" max="12" width="13.33203125" customWidth="1"/>
    <col min="13" max="14" width="12.109375" customWidth="1"/>
  </cols>
  <sheetData>
    <row r="1" spans="1:14" s="2" customFormat="1" x14ac:dyDescent="0.3">
      <c r="A1" s="2" t="str">
        <f>'Data Sheet'!B1</f>
        <v>BATA INDIA LTD</v>
      </c>
      <c r="H1" t="str">
        <f>UPDATE</f>
        <v/>
      </c>
      <c r="J1" s="3"/>
      <c r="K1" s="3"/>
      <c r="M1" s="2" t="s">
        <v>1</v>
      </c>
    </row>
    <row r="3" spans="1:14" s="2" customFormat="1" x14ac:dyDescent="0.3">
      <c r="A3" s="10" t="s">
        <v>2</v>
      </c>
      <c r="B3" s="11">
        <f>'Data Sheet'!B16</f>
        <v>42460</v>
      </c>
      <c r="C3" s="11">
        <f>'Data Sheet'!C16</f>
        <v>42825</v>
      </c>
      <c r="D3" s="11">
        <f>'Data Sheet'!D16</f>
        <v>43190</v>
      </c>
      <c r="E3" s="11">
        <f>'Data Sheet'!E16</f>
        <v>43555</v>
      </c>
      <c r="F3" s="11">
        <f>'Data Sheet'!F16</f>
        <v>43921</v>
      </c>
      <c r="G3" s="11">
        <f>'Data Sheet'!G16</f>
        <v>44286</v>
      </c>
      <c r="H3" s="11">
        <f>'Data Sheet'!H16</f>
        <v>44651</v>
      </c>
      <c r="I3" s="11">
        <f>'Data Sheet'!I16</f>
        <v>45016</v>
      </c>
      <c r="J3" s="11">
        <f>'Data Sheet'!J16</f>
        <v>45382</v>
      </c>
      <c r="K3" s="11">
        <f>'Data Sheet'!K16</f>
        <v>45747</v>
      </c>
      <c r="L3" s="12" t="s">
        <v>3</v>
      </c>
      <c r="M3" s="12" t="s">
        <v>4</v>
      </c>
      <c r="N3" s="12" t="s">
        <v>5</v>
      </c>
    </row>
    <row r="4" spans="1:14" s="2" customFormat="1" x14ac:dyDescent="0.3">
      <c r="A4" s="2" t="s">
        <v>6</v>
      </c>
      <c r="B4" s="1">
        <f>'Data Sheet'!B17</f>
        <v>2422.6999999999998</v>
      </c>
      <c r="C4" s="1">
        <f>'Data Sheet'!C17</f>
        <v>2474.2600000000002</v>
      </c>
      <c r="D4" s="1">
        <f>'Data Sheet'!D17</f>
        <v>2634.17</v>
      </c>
      <c r="E4" s="1">
        <f>'Data Sheet'!E17</f>
        <v>2931.1</v>
      </c>
      <c r="F4" s="1">
        <f>'Data Sheet'!F17</f>
        <v>3056.11</v>
      </c>
      <c r="G4" s="1">
        <f>'Data Sheet'!G17</f>
        <v>1708.48</v>
      </c>
      <c r="H4" s="1">
        <f>'Data Sheet'!H17</f>
        <v>2387.7199999999998</v>
      </c>
      <c r="I4" s="1">
        <f>'Data Sheet'!I17</f>
        <v>3451.57</v>
      </c>
      <c r="J4" s="1">
        <f>'Data Sheet'!J17</f>
        <v>3478.61</v>
      </c>
      <c r="K4" s="1">
        <f>'Data Sheet'!K17</f>
        <v>3488.79</v>
      </c>
      <c r="L4" s="1" t="e">
        <f>SUM(#REF!)</f>
        <v>#REF!</v>
      </c>
      <c r="M4" s="1">
        <f>$K4+M27*K4</f>
        <v>3958.876672225354</v>
      </c>
      <c r="N4" s="1" t="e">
        <f>$K4+N27*L4</f>
        <v>#REF!</v>
      </c>
    </row>
    <row r="5" spans="1:14" s="2" customFormat="1" x14ac:dyDescent="0.3">
      <c r="A5" s="25" t="s">
        <v>93</v>
      </c>
      <c r="B5" s="1"/>
      <c r="C5" s="26">
        <f>IFERROR(C4/B4-1,"--")</f>
        <v>2.1282040698394455E-2</v>
      </c>
      <c r="D5" s="26">
        <f t="shared" ref="D5:K5" si="0">IFERROR(D4/C4-1,"--")</f>
        <v>6.4629424555220583E-2</v>
      </c>
      <c r="E5" s="26">
        <f t="shared" si="0"/>
        <v>0.11272241351165646</v>
      </c>
      <c r="F5" s="26">
        <f t="shared" si="0"/>
        <v>4.2649517246085233E-2</v>
      </c>
      <c r="G5" s="26">
        <f t="shared" si="0"/>
        <v>-0.44096253079895686</v>
      </c>
      <c r="H5" s="26">
        <f t="shared" si="0"/>
        <v>0.39756976961977886</v>
      </c>
      <c r="I5" s="26">
        <f>IFERROR(I4/H4-1,"--")</f>
        <v>0.44555056706816565</v>
      </c>
      <c r="J5" s="26">
        <f t="shared" si="0"/>
        <v>7.8341160689192613E-3</v>
      </c>
      <c r="K5" s="26">
        <f t="shared" si="0"/>
        <v>2.9264562569530916E-3</v>
      </c>
      <c r="L5" s="1"/>
      <c r="M5" s="1"/>
      <c r="N5" s="1"/>
    </row>
    <row r="6" spans="1:14" s="2" customFormat="1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 t="s">
        <v>7</v>
      </c>
      <c r="B7" s="6">
        <f>SUM('Data Sheet'!B18,'Data Sheet'!B20:B24, -1*'Data Sheet'!B19)</f>
        <v>2128.94</v>
      </c>
      <c r="C7" s="6">
        <f>SUM('Data Sheet'!C18,'Data Sheet'!C20:C24, -1*'Data Sheet'!C19)</f>
        <v>2178.46</v>
      </c>
      <c r="D7" s="6">
        <f>SUM('Data Sheet'!D18,'Data Sheet'!D20:D24, -1*'Data Sheet'!D19)</f>
        <v>2270.5200000000004</v>
      </c>
      <c r="E7" s="6">
        <f>SUM('Data Sheet'!E18,'Data Sheet'!E20:E24, -1*'Data Sheet'!E19)</f>
        <v>2441.2599999999998</v>
      </c>
      <c r="F7" s="6">
        <f>SUM('Data Sheet'!F18,'Data Sheet'!F20:F24, -1*'Data Sheet'!F19)</f>
        <v>2209.92</v>
      </c>
      <c r="G7" s="6">
        <f>SUM('Data Sheet'!G18,'Data Sheet'!G20:G24, -1*'Data Sheet'!G19)</f>
        <v>1539.53</v>
      </c>
      <c r="H7" s="6">
        <f>SUM('Data Sheet'!H18,'Data Sheet'!H20:H24, -1*'Data Sheet'!H19)</f>
        <v>1960.3600000000004</v>
      </c>
      <c r="I7" s="6">
        <f>SUM('Data Sheet'!I18,'Data Sheet'!I20:I24, -1*'Data Sheet'!I19)</f>
        <v>2647.39</v>
      </c>
      <c r="J7" s="6">
        <f>SUM('Data Sheet'!J18,'Data Sheet'!J20:J24, -1*'Data Sheet'!J19)</f>
        <v>2681.7300000000005</v>
      </c>
      <c r="K7" s="6">
        <f>SUM('Data Sheet'!K18,'Data Sheet'!K20:K24, -1*'Data Sheet'!K19)</f>
        <v>2736.15</v>
      </c>
      <c r="L7" s="6" t="e">
        <f>SUM(#REF!)</f>
        <v>#REF!</v>
      </c>
      <c r="M7" s="6" t="e">
        <f t="shared" ref="M7:N7" si="1">M4-M8</f>
        <v>#REF!</v>
      </c>
      <c r="N7" s="6" t="e">
        <f t="shared" si="1"/>
        <v>#REF!</v>
      </c>
    </row>
    <row r="8" spans="1:14" s="2" customFormat="1" x14ac:dyDescent="0.3">
      <c r="A8" s="2" t="s">
        <v>8</v>
      </c>
      <c r="B8" s="1">
        <f>B4-B7</f>
        <v>293.75999999999976</v>
      </c>
      <c r="C8" s="1">
        <f t="shared" ref="C8:K8" si="2">C4-C7</f>
        <v>295.80000000000018</v>
      </c>
      <c r="D8" s="1">
        <f t="shared" si="2"/>
        <v>363.64999999999964</v>
      </c>
      <c r="E8" s="1">
        <f t="shared" si="2"/>
        <v>489.84000000000015</v>
      </c>
      <c r="F8" s="1">
        <f t="shared" si="2"/>
        <v>846.19</v>
      </c>
      <c r="G8" s="1">
        <f t="shared" si="2"/>
        <v>168.95000000000005</v>
      </c>
      <c r="H8" s="1">
        <f t="shared" si="2"/>
        <v>427.35999999999945</v>
      </c>
      <c r="I8" s="1">
        <f t="shared" si="2"/>
        <v>804.18000000000029</v>
      </c>
      <c r="J8" s="1">
        <f t="shared" si="2"/>
        <v>796.87999999999965</v>
      </c>
      <c r="K8" s="1">
        <f t="shared" si="2"/>
        <v>752.63999999999987</v>
      </c>
      <c r="L8" s="1" t="e">
        <f>SUM(#REF!)</f>
        <v>#REF!</v>
      </c>
      <c r="M8" s="1" t="e">
        <f>M4*M28</f>
        <v>#REF!</v>
      </c>
      <c r="N8" s="1" t="e">
        <f>N4*N28</f>
        <v>#REF!</v>
      </c>
    </row>
    <row r="9" spans="1:14" s="2" customFormat="1" x14ac:dyDescent="0.3">
      <c r="A9" s="2" t="s">
        <v>94</v>
      </c>
      <c r="B9" s="26">
        <f>B8/B4</f>
        <v>0.12125314731497906</v>
      </c>
      <c r="C9" s="26">
        <f t="shared" ref="C9:K9" si="3">C8/C4</f>
        <v>0.11955089602547839</v>
      </c>
      <c r="D9" s="26">
        <f t="shared" si="3"/>
        <v>0.13805107491164187</v>
      </c>
      <c r="E9" s="26">
        <f t="shared" si="3"/>
        <v>0.16711814677083695</v>
      </c>
      <c r="F9" s="26">
        <f t="shared" si="3"/>
        <v>0.27688466710949539</v>
      </c>
      <c r="G9" s="26">
        <f t="shared" si="3"/>
        <v>9.8889070987076264E-2</v>
      </c>
      <c r="H9" s="26">
        <f t="shared" si="3"/>
        <v>0.17898246025497105</v>
      </c>
      <c r="I9" s="26">
        <f t="shared" si="3"/>
        <v>0.23298962501122686</v>
      </c>
      <c r="J9" s="26">
        <f t="shared" si="3"/>
        <v>0.22908000609438817</v>
      </c>
      <c r="K9" s="26">
        <f t="shared" si="3"/>
        <v>0.21573095543153928</v>
      </c>
      <c r="L9" s="1"/>
      <c r="M9" s="1"/>
      <c r="N9" s="1"/>
    </row>
    <row r="10" spans="1:14" s="2" customFormat="1" x14ac:dyDescent="0.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 t="s">
        <v>9</v>
      </c>
      <c r="B11" s="6">
        <f>'Data Sheet'!B25</f>
        <v>97.4</v>
      </c>
      <c r="C11" s="6">
        <f>'Data Sheet'!C25</f>
        <v>18.09</v>
      </c>
      <c r="D11" s="6">
        <f>'Data Sheet'!D25</f>
        <v>48.66</v>
      </c>
      <c r="E11" s="6">
        <f>'Data Sheet'!E25</f>
        <v>66.17</v>
      </c>
      <c r="F11" s="6">
        <f>'Data Sheet'!F25</f>
        <v>65.55</v>
      </c>
      <c r="G11" s="6">
        <f>'Data Sheet'!G25</f>
        <v>87.28</v>
      </c>
      <c r="H11" s="6">
        <f>'Data Sheet'!H25</f>
        <v>53.74</v>
      </c>
      <c r="I11" s="6">
        <f>'Data Sheet'!I25</f>
        <v>38.68</v>
      </c>
      <c r="J11" s="6">
        <f>'Data Sheet'!J25</f>
        <v>18.91</v>
      </c>
      <c r="K11" s="6">
        <f>'Data Sheet'!K25</f>
        <v>185.86</v>
      </c>
      <c r="L11" s="6" t="e">
        <f>SUM(#REF!)</f>
        <v>#REF!</v>
      </c>
      <c r="M11" s="6">
        <v>0</v>
      </c>
      <c r="N11" s="6">
        <v>0</v>
      </c>
    </row>
    <row r="12" spans="1:14" x14ac:dyDescent="0.3">
      <c r="A12" t="s">
        <v>10</v>
      </c>
      <c r="B12" s="6">
        <f>'Data Sheet'!B26</f>
        <v>78.819999999999993</v>
      </c>
      <c r="C12" s="6">
        <f>'Data Sheet'!C26</f>
        <v>65.040000000000006</v>
      </c>
      <c r="D12" s="6">
        <f>'Data Sheet'!D26</f>
        <v>60.45</v>
      </c>
      <c r="E12" s="6">
        <f>'Data Sheet'!E26</f>
        <v>64.05</v>
      </c>
      <c r="F12" s="6">
        <f>'Data Sheet'!F26</f>
        <v>295.8</v>
      </c>
      <c r="G12" s="6">
        <f>'Data Sheet'!G26</f>
        <v>264.75</v>
      </c>
      <c r="H12" s="6">
        <f>'Data Sheet'!H26</f>
        <v>241.96</v>
      </c>
      <c r="I12" s="6">
        <f>'Data Sheet'!I26</f>
        <v>294.77999999999997</v>
      </c>
      <c r="J12" s="6">
        <f>'Data Sheet'!J26</f>
        <v>339.08</v>
      </c>
      <c r="K12" s="6">
        <f>'Data Sheet'!K26</f>
        <v>371.3</v>
      </c>
      <c r="L12" s="6" t="e">
        <f>SUM(#REF!)</f>
        <v>#REF!</v>
      </c>
      <c r="M12" s="6" t="e">
        <f>+$L12</f>
        <v>#REF!</v>
      </c>
      <c r="N12" s="6" t="e">
        <f>+$L12</f>
        <v>#REF!</v>
      </c>
    </row>
    <row r="13" spans="1:14" x14ac:dyDescent="0.3">
      <c r="A13" t="s">
        <v>11</v>
      </c>
      <c r="B13" s="6">
        <f>'Data Sheet'!B27</f>
        <v>15.79</v>
      </c>
      <c r="C13" s="6">
        <f>'Data Sheet'!C27</f>
        <v>14.99</v>
      </c>
      <c r="D13" s="6">
        <f>'Data Sheet'!D27</f>
        <v>14.82</v>
      </c>
      <c r="E13" s="6">
        <f>'Data Sheet'!E27</f>
        <v>14.28</v>
      </c>
      <c r="F13" s="6">
        <f>'Data Sheet'!F27</f>
        <v>128.71</v>
      </c>
      <c r="G13" s="6">
        <f>'Data Sheet'!G27</f>
        <v>108.12</v>
      </c>
      <c r="H13" s="6">
        <f>'Data Sheet'!H27</f>
        <v>99.43</v>
      </c>
      <c r="I13" s="6">
        <f>'Data Sheet'!I27</f>
        <v>118.24</v>
      </c>
      <c r="J13" s="6">
        <f>'Data Sheet'!J27</f>
        <v>126.08</v>
      </c>
      <c r="K13" s="6">
        <f>'Data Sheet'!K27</f>
        <v>140.82</v>
      </c>
      <c r="L13" s="6" t="e">
        <f>SUM(#REF!)</f>
        <v>#REF!</v>
      </c>
      <c r="M13" s="6" t="e">
        <f>+$L13</f>
        <v>#REF!</v>
      </c>
      <c r="N13" s="6" t="e">
        <f>+$L13</f>
        <v>#REF!</v>
      </c>
    </row>
    <row r="14" spans="1:14" x14ac:dyDescent="0.3">
      <c r="A14" t="s">
        <v>12</v>
      </c>
      <c r="B14" s="6">
        <f>'Data Sheet'!B28</f>
        <v>296.55</v>
      </c>
      <c r="C14" s="6">
        <f>'Data Sheet'!C28</f>
        <v>233.86</v>
      </c>
      <c r="D14" s="6">
        <f>'Data Sheet'!D28</f>
        <v>337.04</v>
      </c>
      <c r="E14" s="6">
        <f>'Data Sheet'!E28</f>
        <v>477.68</v>
      </c>
      <c r="F14" s="6">
        <f>'Data Sheet'!F28</f>
        <v>487.23</v>
      </c>
      <c r="G14" s="6">
        <f>'Data Sheet'!G28</f>
        <v>-116.64</v>
      </c>
      <c r="H14" s="6">
        <f>'Data Sheet'!H28</f>
        <v>139.71</v>
      </c>
      <c r="I14" s="6">
        <f>'Data Sheet'!I28</f>
        <v>429.84</v>
      </c>
      <c r="J14" s="6">
        <f>'Data Sheet'!J28</f>
        <v>350.63</v>
      </c>
      <c r="K14" s="6">
        <f>'Data Sheet'!K28</f>
        <v>426.38</v>
      </c>
      <c r="L14" s="6" t="e">
        <f>SUM(#REF!)</f>
        <v>#REF!</v>
      </c>
      <c r="M14" s="6" t="e">
        <f>M8+M11-SUM(M12:M13)</f>
        <v>#REF!</v>
      </c>
      <c r="N14" s="6" t="e">
        <f>N8+N11-SUM(N12:N13)</f>
        <v>#REF!</v>
      </c>
    </row>
    <row r="15" spans="1:14" x14ac:dyDescent="0.3">
      <c r="A15" t="s">
        <v>13</v>
      </c>
      <c r="B15" s="6">
        <f>'Data Sheet'!B29</f>
        <v>79.16</v>
      </c>
      <c r="C15" s="6">
        <f>'Data Sheet'!C29</f>
        <v>74.91</v>
      </c>
      <c r="D15" s="6">
        <f>'Data Sheet'!D29</f>
        <v>116.53</v>
      </c>
      <c r="E15" s="6">
        <f>'Data Sheet'!E29</f>
        <v>148.69</v>
      </c>
      <c r="F15" s="6">
        <f>'Data Sheet'!F29</f>
        <v>158.29</v>
      </c>
      <c r="G15" s="6">
        <f>'Data Sheet'!G29</f>
        <v>-27.32</v>
      </c>
      <c r="H15" s="6">
        <f>'Data Sheet'!H29</f>
        <v>36.71</v>
      </c>
      <c r="I15" s="6">
        <f>'Data Sheet'!I29</f>
        <v>106.83</v>
      </c>
      <c r="J15" s="6">
        <f>'Data Sheet'!J29</f>
        <v>88.12</v>
      </c>
      <c r="K15" s="6">
        <f>'Data Sheet'!K29</f>
        <v>95.72</v>
      </c>
      <c r="L15" s="6" t="e">
        <f>SUM(#REF!)</f>
        <v>#REF!</v>
      </c>
      <c r="M15" s="7" t="e">
        <f>IF($L14&gt;0,$L15/$L14,0)</f>
        <v>#REF!</v>
      </c>
      <c r="N15" s="7" t="e">
        <f>IF($L14&gt;0,$L15/$L14,0)</f>
        <v>#REF!</v>
      </c>
    </row>
    <row r="16" spans="1:14" s="2" customFormat="1" x14ac:dyDescent="0.3">
      <c r="A16" s="2" t="s">
        <v>14</v>
      </c>
      <c r="B16" s="1">
        <f>'Data Sheet'!B30</f>
        <v>217.39</v>
      </c>
      <c r="C16" s="1">
        <f>'Data Sheet'!C30</f>
        <v>158.94999999999999</v>
      </c>
      <c r="D16" s="1">
        <f>'Data Sheet'!D30</f>
        <v>220.51</v>
      </c>
      <c r="E16" s="1">
        <f>'Data Sheet'!E30</f>
        <v>328.99</v>
      </c>
      <c r="F16" s="1">
        <f>'Data Sheet'!F30</f>
        <v>328.95</v>
      </c>
      <c r="G16" s="1">
        <f>'Data Sheet'!G30</f>
        <v>-89.31</v>
      </c>
      <c r="H16" s="1">
        <f>'Data Sheet'!H30</f>
        <v>102.99</v>
      </c>
      <c r="I16" s="1">
        <f>'Data Sheet'!I30</f>
        <v>323</v>
      </c>
      <c r="J16" s="1">
        <f>'Data Sheet'!J30</f>
        <v>262.51</v>
      </c>
      <c r="K16" s="1">
        <f>'Data Sheet'!K30</f>
        <v>330.66</v>
      </c>
      <c r="L16" s="1" t="e">
        <f>SUM(#REF!)</f>
        <v>#REF!</v>
      </c>
      <c r="M16" s="1" t="e">
        <f>M14-M15*M14</f>
        <v>#REF!</v>
      </c>
      <c r="N16" s="1" t="e">
        <f>N14-N15*N14</f>
        <v>#REF!</v>
      </c>
    </row>
    <row r="17" spans="1:14" x14ac:dyDescent="0.3">
      <c r="A17" t="s">
        <v>44</v>
      </c>
      <c r="B17" s="6">
        <f>IF('Data Sheet'!B93&gt;0,B16/'Data Sheet'!B93,0)</f>
        <v>16.917509727626459</v>
      </c>
      <c r="C17" s="6">
        <f>IF('Data Sheet'!C93&gt;0,C16/'Data Sheet'!C93,0)</f>
        <v>12.36964980544747</v>
      </c>
      <c r="D17" s="6">
        <f>IF('Data Sheet'!D93&gt;0,D16/'Data Sheet'!D93,0)</f>
        <v>17.160311284046692</v>
      </c>
      <c r="E17" s="6">
        <f>IF('Data Sheet'!E93&gt;0,E16/'Data Sheet'!E93,0)</f>
        <v>25.602334630350196</v>
      </c>
      <c r="F17" s="6">
        <f>IF('Data Sheet'!F93&gt;0,F16/'Data Sheet'!F93,0)</f>
        <v>25.59922178988327</v>
      </c>
      <c r="G17" s="6">
        <f>IF('Data Sheet'!G93&gt;0,G16/'Data Sheet'!G93,0)</f>
        <v>-6.9501945525291831</v>
      </c>
      <c r="H17" s="6">
        <f>IF('Data Sheet'!H93&gt;0,H16/'Data Sheet'!H93,0)</f>
        <v>8.0147859922178988</v>
      </c>
      <c r="I17" s="6">
        <f>IF('Data Sheet'!I93&gt;0,I16/'Data Sheet'!I93,0)</f>
        <v>25.136186770428015</v>
      </c>
      <c r="J17" s="6">
        <f>IF('Data Sheet'!J93&gt;0,J16/'Data Sheet'!J93,0)</f>
        <v>20.428793774319065</v>
      </c>
      <c r="K17" s="6">
        <f>IF('Data Sheet'!K93&gt;0,K16/'Data Sheet'!K93,0)</f>
        <v>25.732295719844359</v>
      </c>
      <c r="L17" s="6" t="e">
        <f>IF('Data Sheet'!$B6&gt;0,'Profit &amp; Loss'!L16/'Data Sheet'!$B6,0)</f>
        <v>#REF!</v>
      </c>
      <c r="M17" s="6" t="e">
        <f>IF('Data Sheet'!$B6&gt;0,'Profit &amp; Loss'!M16/'Data Sheet'!$B6,0)</f>
        <v>#REF!</v>
      </c>
      <c r="N17" s="6" t="e">
        <f>IF('Data Sheet'!$B6&gt;0,'Profit &amp; Loss'!N16/'Data Sheet'!$B6,0)</f>
        <v>#REF!</v>
      </c>
    </row>
    <row r="18" spans="1:14" x14ac:dyDescent="0.3">
      <c r="A18" t="s">
        <v>16</v>
      </c>
      <c r="B18" s="6">
        <f>IF(B19&gt;0,B19/B17,"")</f>
        <v>30.063526381158287</v>
      </c>
      <c r="C18" s="6">
        <f t="shared" ref="C18:K18" si="4">IF(C19&gt;0,C19/C17,"")</f>
        <v>45.914800251651471</v>
      </c>
      <c r="D18" s="6">
        <f t="shared" si="4"/>
        <v>42.537107160672988</v>
      </c>
      <c r="E18" s="6">
        <f t="shared" si="4"/>
        <v>54.879760783002517</v>
      </c>
      <c r="F18" s="6">
        <f t="shared" si="4"/>
        <v>48.091305669554636</v>
      </c>
      <c r="G18" s="6">
        <f t="shared" si="4"/>
        <v>-202.32527152614489</v>
      </c>
      <c r="H18" s="6">
        <f t="shared" si="4"/>
        <v>244.7226915234489</v>
      </c>
      <c r="I18" s="6">
        <f t="shared" si="4"/>
        <v>56.426617647058819</v>
      </c>
      <c r="J18" s="6">
        <f t="shared" si="4"/>
        <v>66.778294160222472</v>
      </c>
      <c r="K18" s="6">
        <f t="shared" si="4"/>
        <v>47.407351962741188</v>
      </c>
      <c r="L18" s="6" t="e">
        <f t="shared" ref="L18" si="5">IF(L17&gt;0,L19/L17,0)</f>
        <v>#REF!</v>
      </c>
      <c r="M18" s="6" t="e">
        <f>M29</f>
        <v>#REF!</v>
      </c>
      <c r="N18" s="6" t="e">
        <f>N29</f>
        <v>#REF!</v>
      </c>
    </row>
    <row r="19" spans="1:14" s="2" customFormat="1" x14ac:dyDescent="0.3">
      <c r="A19" s="2" t="s">
        <v>45</v>
      </c>
      <c r="B19" s="1">
        <f>'Data Sheet'!B90</f>
        <v>508.6</v>
      </c>
      <c r="C19" s="1">
        <f>'Data Sheet'!C90</f>
        <v>567.95000000000005</v>
      </c>
      <c r="D19" s="1">
        <f>'Data Sheet'!D90</f>
        <v>729.95</v>
      </c>
      <c r="E19" s="1">
        <f>'Data Sheet'!E90</f>
        <v>1405.05</v>
      </c>
      <c r="F19" s="1">
        <f>'Data Sheet'!F90</f>
        <v>1231.0999999999999</v>
      </c>
      <c r="G19" s="1">
        <f>'Data Sheet'!G90</f>
        <v>1406.2</v>
      </c>
      <c r="H19" s="1">
        <f>'Data Sheet'!H90</f>
        <v>1961.4</v>
      </c>
      <c r="I19" s="1">
        <f>'Data Sheet'!I90</f>
        <v>1418.35</v>
      </c>
      <c r="J19" s="1">
        <f>'Data Sheet'!J90</f>
        <v>1364.2</v>
      </c>
      <c r="K19" s="1">
        <f>'Data Sheet'!K90</f>
        <v>1219.9000000000001</v>
      </c>
      <c r="L19" s="1">
        <f>'Data Sheet'!B8</f>
        <v>1066.0999999999999</v>
      </c>
      <c r="M19" s="8" t="e">
        <f>M17*M18</f>
        <v>#REF!</v>
      </c>
      <c r="N19" s="9" t="e">
        <f>N17*N18</f>
        <v>#REF!</v>
      </c>
    </row>
    <row r="21" spans="1:14" s="2" customFormat="1" x14ac:dyDescent="0.3">
      <c r="A21" s="2" t="s">
        <v>15</v>
      </c>
    </row>
    <row r="22" spans="1:14" x14ac:dyDescent="0.3">
      <c r="A22" t="s">
        <v>17</v>
      </c>
      <c r="B22" s="5">
        <f>IF('Data Sheet'!B30&gt;0, 'Data Sheet'!B31/'Data Sheet'!B30, 0)</f>
        <v>0.20690924145544873</v>
      </c>
      <c r="C22" s="5">
        <f>IF('Data Sheet'!C30&gt;0, 'Data Sheet'!C31/'Data Sheet'!C30, 0)</f>
        <v>0.28298206983328089</v>
      </c>
      <c r="D22" s="5">
        <f>IF('Data Sheet'!D30&gt;0, 'Data Sheet'!D31/'Data Sheet'!D30, 0)</f>
        <v>0.23314135413359938</v>
      </c>
      <c r="E22" s="5">
        <f>IF('Data Sheet'!E30&gt;0, 'Data Sheet'!E31/'Data Sheet'!E30, 0)</f>
        <v>0.24414115930575395</v>
      </c>
      <c r="F22" s="5">
        <f>IF('Data Sheet'!F30&gt;0, 'Data Sheet'!F31/'Data Sheet'!F30, 0)</f>
        <v>0.15628514971880225</v>
      </c>
      <c r="G22" s="5">
        <f>IF('Data Sheet'!G30&gt;0, 'Data Sheet'!G31/'Data Sheet'!G30, 0)</f>
        <v>0</v>
      </c>
      <c r="H22" s="5">
        <f>IF('Data Sheet'!H30&gt;0, 'Data Sheet'!H31/'Data Sheet'!H30, 0)</f>
        <v>6.8009515486940479</v>
      </c>
      <c r="I22" s="5">
        <f>IF('Data Sheet'!I30&gt;0, 'Data Sheet'!I31/'Data Sheet'!I30, 0)</f>
        <v>0.53715170278637769</v>
      </c>
      <c r="J22" s="5">
        <f>IF('Data Sheet'!J30&gt;0, 'Data Sheet'!J31/'Data Sheet'!J30, 0)</f>
        <v>0.58748238162355726</v>
      </c>
      <c r="K22" s="5">
        <f>IF('Data Sheet'!K30&gt;0, 'Data Sheet'!K31/'Data Sheet'!K30, 0)</f>
        <v>0.73849271154660368</v>
      </c>
    </row>
    <row r="23" spans="1:14" x14ac:dyDescent="0.3">
      <c r="A23" t="s">
        <v>18</v>
      </c>
      <c r="B23" s="5">
        <f t="shared" ref="B23:L23" si="6">IF(B8&gt;0,B8/B4,0)</f>
        <v>0.12125314731497906</v>
      </c>
      <c r="C23" s="5">
        <f t="shared" ref="C23:K23" si="7">IF(C8&gt;0,C8/C4,0)</f>
        <v>0.11955089602547839</v>
      </c>
      <c r="D23" s="5">
        <f t="shared" si="7"/>
        <v>0.13805107491164187</v>
      </c>
      <c r="E23" s="5">
        <f t="shared" si="7"/>
        <v>0.16711814677083695</v>
      </c>
      <c r="F23" s="5">
        <f t="shared" si="7"/>
        <v>0.27688466710949539</v>
      </c>
      <c r="G23" s="5">
        <f t="shared" si="7"/>
        <v>9.8889070987076264E-2</v>
      </c>
      <c r="H23" s="5">
        <f t="shared" si="7"/>
        <v>0.17898246025497105</v>
      </c>
      <c r="I23" s="5">
        <f t="shared" si="7"/>
        <v>0.23298962501122686</v>
      </c>
      <c r="J23" s="5">
        <f t="shared" si="7"/>
        <v>0.22908000609438817</v>
      </c>
      <c r="K23" s="5">
        <f t="shared" si="7"/>
        <v>0.21573095543153928</v>
      </c>
      <c r="L23" s="5" t="e">
        <f t="shared" si="6"/>
        <v>#REF!</v>
      </c>
    </row>
    <row r="24" spans="1:14" x14ac:dyDescent="0.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4" x14ac:dyDescent="0.3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4" s="2" customFormat="1" x14ac:dyDescent="0.3">
      <c r="A26" s="10"/>
      <c r="B26" s="11"/>
      <c r="C26" s="11"/>
      <c r="D26" s="11"/>
      <c r="E26" s="11"/>
      <c r="F26" s="11"/>
      <c r="G26" s="11" t="s">
        <v>19</v>
      </c>
      <c r="H26" s="11" t="s">
        <v>50</v>
      </c>
      <c r="I26" s="11" t="s">
        <v>51</v>
      </c>
      <c r="J26" s="11" t="s">
        <v>52</v>
      </c>
      <c r="K26" s="11" t="s">
        <v>53</v>
      </c>
      <c r="L26" s="12" t="s">
        <v>54</v>
      </c>
      <c r="M26" s="12" t="s">
        <v>20</v>
      </c>
      <c r="N26" s="12" t="s">
        <v>21</v>
      </c>
    </row>
    <row r="27" spans="1:14" s="2" customFormat="1" x14ac:dyDescent="0.3">
      <c r="A27"/>
      <c r="B27"/>
      <c r="C27"/>
      <c r="D27"/>
      <c r="E27"/>
      <c r="F27"/>
      <c r="G27" t="s">
        <v>22</v>
      </c>
      <c r="H27" s="5">
        <f>IF(B4=0,"",POWER($K4/B4,1/9)-1)</f>
        <v>4.1351251447369952E-2</v>
      </c>
      <c r="I27" s="5">
        <f>IF(D4=0,"",POWER($K4/D4,1/7)-1)</f>
        <v>4.0957513483564689E-2</v>
      </c>
      <c r="J27" s="5">
        <f>IF(F4=0,"",POWER($K4/F4,1/5)-1)</f>
        <v>2.6836196515130695E-2</v>
      </c>
      <c r="K27" s="5">
        <f>IF(H4=0,"",POWER($K4/H4, 1/3)-1)</f>
        <v>0.13474203727520262</v>
      </c>
      <c r="L27" s="5" t="str">
        <f>IF(ISERROR(MAX(IF(J4=0,"",(K4-J4)/J4),IF(K4=0,"",(L4-K4)/K4))),"",MAX(IF(J4=0,"",(K4-J4)/J4),IF(K4=0,"",(L4-K4)/K4)))</f>
        <v/>
      </c>
      <c r="M27" s="13">
        <f>MAX(K27:L27)</f>
        <v>0.13474203727520262</v>
      </c>
      <c r="N27" s="13">
        <f>MIN(H27:L27)</f>
        <v>2.6836196515130695E-2</v>
      </c>
    </row>
    <row r="28" spans="1:14" x14ac:dyDescent="0.3">
      <c r="G28" t="s">
        <v>18</v>
      </c>
      <c r="H28" s="5">
        <f>IF(SUM(B4:$K$4)=0,"",SUMPRODUCT(B23:$K$23,B4:$K$4)/SUM(B4:$K$4))</f>
        <v>0.18689240127261972</v>
      </c>
      <c r="I28" s="5">
        <f>IF(SUM(E4:$K$4)=0,"",SUMPRODUCT(E23:$K$23,E4:$K$4)/SUM(E4:$K$4))</f>
        <v>0.20905085165722218</v>
      </c>
      <c r="J28" s="5">
        <f>IF(SUM(G4:$K$4)=0,"",SUMPRODUCT(G23:$K$23,G4:$K$4)/SUM(G4:$K$4))</f>
        <v>0.20323633825852533</v>
      </c>
      <c r="K28" s="5">
        <f>IF(SUM(I4:$K$4)=0, "", SUMPRODUCT(I23:$K$23,I4:$K$4)/SUM(I4:$K$4))</f>
        <v>0.22590524783159943</v>
      </c>
      <c r="L28" s="5" t="e">
        <f>L23</f>
        <v>#REF!</v>
      </c>
      <c r="M28" s="13" t="e">
        <f>MAX(K28:L28)</f>
        <v>#REF!</v>
      </c>
      <c r="N28" s="13" t="e">
        <f>MIN(H28:L28)</f>
        <v>#REF!</v>
      </c>
    </row>
    <row r="29" spans="1:14" x14ac:dyDescent="0.3">
      <c r="G29" t="s">
        <v>23</v>
      </c>
      <c r="H29" s="6">
        <f>IF(ISERROR(AVERAGEIF(B18:$L18,"&gt;0")),"",AVERAGEIF(B18:$L18,"&gt;0"))</f>
        <v>70.757939504390151</v>
      </c>
      <c r="I29" s="6">
        <f>IF(ISERROR(AVERAGEIF(E18:$L18,"&gt;0")),"",AVERAGEIF(E18:$L18,"&gt;0"))</f>
        <v>86.384336957671437</v>
      </c>
      <c r="J29" s="6">
        <f>IF(ISERROR(AVERAGEIF(G18:$L18,"&gt;0")),"",AVERAGEIF(G18:$L18,"&gt;0"))</f>
        <v>103.83373882336784</v>
      </c>
      <c r="K29" s="6">
        <f>IF(ISERROR(AVERAGEIF(I18:$L18,"&gt;0")),"",AVERAGEIF(I18:$L18,"&gt;0"))</f>
        <v>56.870754590007493</v>
      </c>
      <c r="L29" s="6" t="e">
        <f>L18</f>
        <v>#REF!</v>
      </c>
      <c r="M29" s="1" t="e">
        <f>MAX(K29:L29)</f>
        <v>#REF!</v>
      </c>
      <c r="N29" s="1" t="e">
        <f>MIN(H29:L29)</f>
        <v>#REF!</v>
      </c>
    </row>
  </sheetData>
  <hyperlinks>
    <hyperlink ref="M1" r:id="rId1" xr:uid="{00000000-0004-0000-0000-000000000000}"/>
  </hyperlinks>
  <printOptions gridLines="1"/>
  <pageMargins left="0.7" right="0.7" top="0.75" bottom="0.75" header="0.3" footer="0.3"/>
  <pageSetup paperSize="9" scale="67" orientation="landscape" horizontalDpi="300" verticalDpi="300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3"/>
  <sheetViews>
    <sheetView zoomScale="120" zoomScaleNormal="120" zoomScalePageLayoutView="120" workbookViewId="0">
      <pane xSplit="1" ySplit="1" topLeftCell="B41" activePane="bottomRight" state="frozen"/>
      <selection activeCell="C4" sqref="C4"/>
      <selection pane="topRight" activeCell="C4" sqref="C4"/>
      <selection pane="bottomLeft" activeCell="C4" sqref="C4"/>
      <selection pane="bottomRight" activeCell="B9" sqref="B9"/>
    </sheetView>
  </sheetViews>
  <sheetFormatPr defaultColWidth="8.77734375" defaultRowHeight="14.4" x14ac:dyDescent="0.3"/>
  <cols>
    <col min="1" max="1" width="27.6640625" style="4" bestFit="1" customWidth="1"/>
    <col min="2" max="11" width="13.44140625" style="4" bestFit="1" customWidth="1"/>
    <col min="12" max="16384" width="8.77734375" style="4"/>
  </cols>
  <sheetData>
    <row r="1" spans="1:11" s="1" customFormat="1" x14ac:dyDescent="0.3">
      <c r="A1" s="1" t="s">
        <v>0</v>
      </c>
      <c r="B1" s="1" t="s">
        <v>48</v>
      </c>
      <c r="E1" s="87" t="str">
        <f>IF(B2&lt;&gt;B3, "A NEW VERSION OF THE WORKSHEET IS AVAILABLE", "")</f>
        <v/>
      </c>
      <c r="F1" s="87"/>
      <c r="G1" s="87"/>
      <c r="H1" s="87"/>
      <c r="I1" s="87"/>
      <c r="J1" s="87"/>
      <c r="K1" s="87"/>
    </row>
    <row r="2" spans="1:11" x14ac:dyDescent="0.3">
      <c r="A2" s="1" t="s">
        <v>46</v>
      </c>
      <c r="B2" s="4">
        <v>2.1</v>
      </c>
      <c r="E2" s="88" t="s">
        <v>35</v>
      </c>
      <c r="F2" s="88"/>
      <c r="G2" s="88"/>
      <c r="H2" s="88"/>
      <c r="I2" s="88"/>
      <c r="J2" s="88"/>
      <c r="K2" s="88"/>
    </row>
    <row r="3" spans="1:11" x14ac:dyDescent="0.3">
      <c r="A3" s="1" t="s">
        <v>47</v>
      </c>
      <c r="B3" s="4">
        <v>2.1</v>
      </c>
    </row>
    <row r="4" spans="1:11" x14ac:dyDescent="0.3">
      <c r="A4" s="1"/>
    </row>
    <row r="5" spans="1:11" x14ac:dyDescent="0.3">
      <c r="A5" s="1" t="s">
        <v>49</v>
      </c>
    </row>
    <row r="6" spans="1:11" x14ac:dyDescent="0.3">
      <c r="A6" s="4" t="s">
        <v>41</v>
      </c>
      <c r="B6" s="4">
        <f>IF(B9&gt;0, B9/B8, 0)</f>
        <v>12.852753025044557</v>
      </c>
    </row>
    <row r="7" spans="1:11" x14ac:dyDescent="0.3">
      <c r="A7" s="4" t="s">
        <v>30</v>
      </c>
      <c r="B7">
        <v>5</v>
      </c>
    </row>
    <row r="8" spans="1:11" x14ac:dyDescent="0.3">
      <c r="A8" s="4" t="s">
        <v>42</v>
      </c>
      <c r="B8">
        <v>1066.0999999999999</v>
      </c>
    </row>
    <row r="9" spans="1:11" x14ac:dyDescent="0.3">
      <c r="A9" s="4" t="s">
        <v>64</v>
      </c>
      <c r="B9">
        <v>13702.32</v>
      </c>
    </row>
    <row r="15" spans="1:11" x14ac:dyDescent="0.3">
      <c r="A15" s="1" t="s">
        <v>36</v>
      </c>
    </row>
    <row r="16" spans="1:11" s="15" customFormat="1" x14ac:dyDescent="0.3">
      <c r="A16" s="14" t="s">
        <v>37</v>
      </c>
      <c r="B16" s="11">
        <v>42460</v>
      </c>
      <c r="C16" s="11">
        <v>42825</v>
      </c>
      <c r="D16" s="11">
        <v>43190</v>
      </c>
      <c r="E16" s="11">
        <v>43555</v>
      </c>
      <c r="F16" s="11">
        <v>43921</v>
      </c>
      <c r="G16" s="11">
        <v>44286</v>
      </c>
      <c r="H16" s="11">
        <v>44651</v>
      </c>
      <c r="I16" s="11">
        <v>45016</v>
      </c>
      <c r="J16" s="11">
        <v>45382</v>
      </c>
      <c r="K16" s="11">
        <v>45747</v>
      </c>
    </row>
    <row r="17" spans="1:11" s="6" customFormat="1" x14ac:dyDescent="0.3">
      <c r="A17" s="6" t="s">
        <v>6</v>
      </c>
      <c r="B17">
        <v>2422.6999999999998</v>
      </c>
      <c r="C17">
        <v>2474.2600000000002</v>
      </c>
      <c r="D17">
        <v>2634.17</v>
      </c>
      <c r="E17">
        <v>2931.1</v>
      </c>
      <c r="F17">
        <v>3056.11</v>
      </c>
      <c r="G17">
        <v>1708.48</v>
      </c>
      <c r="H17">
        <v>2387.7199999999998</v>
      </c>
      <c r="I17">
        <v>3451.57</v>
      </c>
      <c r="J17">
        <v>3478.61</v>
      </c>
      <c r="K17">
        <v>3488.79</v>
      </c>
    </row>
    <row r="18" spans="1:11" s="6" customFormat="1" x14ac:dyDescent="0.3">
      <c r="A18" s="4" t="s">
        <v>65</v>
      </c>
      <c r="B18">
        <v>1144.47</v>
      </c>
      <c r="C18">
        <v>1186.31</v>
      </c>
      <c r="D18">
        <v>1254.99</v>
      </c>
      <c r="E18">
        <v>1366.85</v>
      </c>
      <c r="F18">
        <v>1330.57</v>
      </c>
      <c r="G18">
        <v>575.77</v>
      </c>
      <c r="H18">
        <v>1342.25</v>
      </c>
      <c r="I18">
        <v>1549.72</v>
      </c>
      <c r="J18">
        <v>1524.95</v>
      </c>
      <c r="K18">
        <v>1407.85</v>
      </c>
    </row>
    <row r="19" spans="1:11" s="6" customFormat="1" x14ac:dyDescent="0.3">
      <c r="A19" s="4" t="s">
        <v>66</v>
      </c>
      <c r="B19">
        <v>-7.15</v>
      </c>
      <c r="C19">
        <v>28.25</v>
      </c>
      <c r="D19">
        <v>52.6</v>
      </c>
      <c r="E19">
        <v>79.739999999999995</v>
      </c>
      <c r="F19">
        <v>33.99</v>
      </c>
      <c r="G19">
        <v>-261.73</v>
      </c>
      <c r="H19">
        <v>255.45</v>
      </c>
      <c r="I19">
        <v>36.090000000000003</v>
      </c>
      <c r="J19">
        <v>32.72</v>
      </c>
      <c r="K19">
        <v>-116.57</v>
      </c>
    </row>
    <row r="20" spans="1:11" s="6" customFormat="1" x14ac:dyDescent="0.3">
      <c r="A20" s="4" t="s">
        <v>67</v>
      </c>
      <c r="B20">
        <v>55.29</v>
      </c>
      <c r="C20">
        <v>53.72</v>
      </c>
      <c r="D20">
        <v>55.96</v>
      </c>
      <c r="E20">
        <v>57.71</v>
      </c>
      <c r="F20">
        <v>60.22</v>
      </c>
      <c r="G20">
        <v>38.83</v>
      </c>
      <c r="H20">
        <v>43.4</v>
      </c>
      <c r="I20">
        <v>56.22</v>
      </c>
      <c r="J20">
        <v>59.53</v>
      </c>
      <c r="K20">
        <v>63.11</v>
      </c>
    </row>
    <row r="21" spans="1:11" s="6" customFormat="1" x14ac:dyDescent="0.3">
      <c r="A21" s="4" t="s">
        <v>68</v>
      </c>
      <c r="B21">
        <v>15.75</v>
      </c>
      <c r="C21">
        <v>16.79</v>
      </c>
      <c r="D21">
        <v>20.97</v>
      </c>
      <c r="E21">
        <v>19.07</v>
      </c>
      <c r="F21">
        <v>21.61</v>
      </c>
      <c r="G21">
        <v>14.15</v>
      </c>
      <c r="H21">
        <v>15.88</v>
      </c>
      <c r="I21">
        <v>15.32</v>
      </c>
      <c r="J21">
        <v>15.06</v>
      </c>
      <c r="K21">
        <v>14.73</v>
      </c>
    </row>
    <row r="22" spans="1:11" s="6" customFormat="1" x14ac:dyDescent="0.3">
      <c r="A22" s="4" t="s">
        <v>69</v>
      </c>
      <c r="B22">
        <v>261.49</v>
      </c>
      <c r="C22">
        <v>294.86</v>
      </c>
      <c r="D22">
        <v>295.61</v>
      </c>
      <c r="E22">
        <v>331.08</v>
      </c>
      <c r="F22">
        <v>376.42</v>
      </c>
      <c r="G22">
        <v>339.82</v>
      </c>
      <c r="H22">
        <v>378.68</v>
      </c>
      <c r="I22">
        <v>418.69</v>
      </c>
      <c r="J22">
        <v>419.96</v>
      </c>
      <c r="K22">
        <v>462.37</v>
      </c>
    </row>
    <row r="23" spans="1:11" s="6" customFormat="1" x14ac:dyDescent="0.3">
      <c r="A23" s="4" t="s">
        <v>70</v>
      </c>
      <c r="B23">
        <v>595.89</v>
      </c>
      <c r="C23">
        <v>614.41999999999996</v>
      </c>
      <c r="D23">
        <v>612.52</v>
      </c>
      <c r="E23">
        <v>665.81</v>
      </c>
      <c r="F23">
        <v>361.57</v>
      </c>
      <c r="G23">
        <v>253.81</v>
      </c>
      <c r="H23">
        <v>404.57</v>
      </c>
      <c r="I23">
        <v>598.32000000000005</v>
      </c>
      <c r="J23">
        <v>656.26</v>
      </c>
      <c r="K23">
        <v>635.09</v>
      </c>
    </row>
    <row r="24" spans="1:11" s="6" customFormat="1" x14ac:dyDescent="0.3">
      <c r="A24" s="4" t="s">
        <v>71</v>
      </c>
      <c r="B24">
        <v>48.9</v>
      </c>
      <c r="C24">
        <v>40.61</v>
      </c>
      <c r="D24">
        <v>83.07</v>
      </c>
      <c r="E24">
        <v>80.48</v>
      </c>
      <c r="F24">
        <v>93.52</v>
      </c>
      <c r="G24">
        <v>55.42</v>
      </c>
      <c r="H24">
        <v>31.03</v>
      </c>
      <c r="I24">
        <v>45.21</v>
      </c>
      <c r="J24">
        <v>38.69</v>
      </c>
      <c r="K24">
        <v>36.43</v>
      </c>
    </row>
    <row r="25" spans="1:11" s="6" customFormat="1" x14ac:dyDescent="0.3">
      <c r="A25" s="6" t="s">
        <v>9</v>
      </c>
      <c r="B25">
        <v>97.4</v>
      </c>
      <c r="C25">
        <v>18.09</v>
      </c>
      <c r="D25">
        <v>48.66</v>
      </c>
      <c r="E25">
        <v>66.17</v>
      </c>
      <c r="F25">
        <v>65.55</v>
      </c>
      <c r="G25">
        <v>87.28</v>
      </c>
      <c r="H25">
        <v>53.74</v>
      </c>
      <c r="I25">
        <v>38.68</v>
      </c>
      <c r="J25">
        <v>18.91</v>
      </c>
      <c r="K25">
        <v>185.86</v>
      </c>
    </row>
    <row r="26" spans="1:11" s="6" customFormat="1" x14ac:dyDescent="0.3">
      <c r="A26" s="6" t="s">
        <v>10</v>
      </c>
      <c r="B26">
        <v>78.819999999999993</v>
      </c>
      <c r="C26">
        <v>65.040000000000006</v>
      </c>
      <c r="D26">
        <v>60.45</v>
      </c>
      <c r="E26">
        <v>64.05</v>
      </c>
      <c r="F26">
        <v>295.8</v>
      </c>
      <c r="G26">
        <v>264.75</v>
      </c>
      <c r="H26">
        <v>241.96</v>
      </c>
      <c r="I26">
        <v>294.77999999999997</v>
      </c>
      <c r="J26">
        <v>339.08</v>
      </c>
      <c r="K26">
        <v>371.3</v>
      </c>
    </row>
    <row r="27" spans="1:11" s="6" customFormat="1" x14ac:dyDescent="0.3">
      <c r="A27" s="6" t="s">
        <v>11</v>
      </c>
      <c r="B27">
        <v>15.79</v>
      </c>
      <c r="C27">
        <v>14.99</v>
      </c>
      <c r="D27">
        <v>14.82</v>
      </c>
      <c r="E27">
        <v>14.28</v>
      </c>
      <c r="F27">
        <v>128.71</v>
      </c>
      <c r="G27">
        <v>108.12</v>
      </c>
      <c r="H27">
        <v>99.43</v>
      </c>
      <c r="I27">
        <v>118.24</v>
      </c>
      <c r="J27">
        <v>126.08</v>
      </c>
      <c r="K27">
        <v>140.82</v>
      </c>
    </row>
    <row r="28" spans="1:11" s="6" customFormat="1" x14ac:dyDescent="0.3">
      <c r="A28" s="6" t="s">
        <v>12</v>
      </c>
      <c r="B28">
        <v>296.55</v>
      </c>
      <c r="C28">
        <v>233.86</v>
      </c>
      <c r="D28">
        <v>337.04</v>
      </c>
      <c r="E28">
        <v>477.68</v>
      </c>
      <c r="F28">
        <v>487.23</v>
      </c>
      <c r="G28">
        <v>-116.64</v>
      </c>
      <c r="H28">
        <v>139.71</v>
      </c>
      <c r="I28">
        <v>429.84</v>
      </c>
      <c r="J28">
        <v>350.63</v>
      </c>
      <c r="K28">
        <v>426.38</v>
      </c>
    </row>
    <row r="29" spans="1:11" s="6" customFormat="1" x14ac:dyDescent="0.3">
      <c r="A29" s="6" t="s">
        <v>13</v>
      </c>
      <c r="B29">
        <v>79.16</v>
      </c>
      <c r="C29">
        <v>74.91</v>
      </c>
      <c r="D29">
        <v>116.53</v>
      </c>
      <c r="E29">
        <v>148.69</v>
      </c>
      <c r="F29">
        <v>158.29</v>
      </c>
      <c r="G29">
        <v>-27.32</v>
      </c>
      <c r="H29">
        <v>36.71</v>
      </c>
      <c r="I29">
        <v>106.83</v>
      </c>
      <c r="J29">
        <v>88.12</v>
      </c>
      <c r="K29">
        <v>95.72</v>
      </c>
    </row>
    <row r="30" spans="1:11" s="6" customFormat="1" x14ac:dyDescent="0.3">
      <c r="A30" s="6" t="s">
        <v>14</v>
      </c>
      <c r="B30">
        <v>217.39</v>
      </c>
      <c r="C30">
        <v>158.94999999999999</v>
      </c>
      <c r="D30">
        <v>220.51</v>
      </c>
      <c r="E30">
        <v>328.99</v>
      </c>
      <c r="F30">
        <v>328.95</v>
      </c>
      <c r="G30">
        <v>-89.31</v>
      </c>
      <c r="H30">
        <v>102.99</v>
      </c>
      <c r="I30">
        <v>323</v>
      </c>
      <c r="J30">
        <v>262.51</v>
      </c>
      <c r="K30">
        <v>330.66</v>
      </c>
    </row>
    <row r="31" spans="1:11" s="6" customFormat="1" x14ac:dyDescent="0.3">
      <c r="A31" s="6" t="s">
        <v>55</v>
      </c>
      <c r="B31">
        <v>44.98</v>
      </c>
      <c r="C31">
        <v>44.98</v>
      </c>
      <c r="D31">
        <v>51.41</v>
      </c>
      <c r="E31">
        <v>80.319999999999993</v>
      </c>
      <c r="F31">
        <v>51.41</v>
      </c>
      <c r="G31">
        <v>51.41</v>
      </c>
      <c r="H31">
        <v>700.43</v>
      </c>
      <c r="I31">
        <v>173.5</v>
      </c>
      <c r="J31">
        <v>154.22</v>
      </c>
      <c r="K31">
        <v>244.19</v>
      </c>
    </row>
    <row r="32" spans="1:11" s="6" customFormat="1" x14ac:dyDescent="0.3"/>
    <row r="33" spans="1:11" x14ac:dyDescent="0.3">
      <c r="A33" s="6"/>
    </row>
    <row r="34" spans="1:11" x14ac:dyDescent="0.3">
      <c r="A34" s="6"/>
    </row>
    <row r="35" spans="1:11" x14ac:dyDescent="0.3">
      <c r="A35" s="6"/>
    </row>
    <row r="36" spans="1:11" x14ac:dyDescent="0.3">
      <c r="A36" s="6"/>
    </row>
    <row r="37" spans="1:11" x14ac:dyDescent="0.3">
      <c r="A37" s="6"/>
    </row>
    <row r="38" spans="1:11" x14ac:dyDescent="0.3">
      <c r="A38" s="6"/>
    </row>
    <row r="39" spans="1:11" x14ac:dyDescent="0.3">
      <c r="A39" s="6"/>
    </row>
    <row r="40" spans="1:11" x14ac:dyDescent="0.3">
      <c r="A40" s="1" t="s">
        <v>38</v>
      </c>
    </row>
    <row r="41" spans="1:11" s="15" customFormat="1" x14ac:dyDescent="0.3">
      <c r="A41" s="14" t="s">
        <v>37</v>
      </c>
      <c r="B41" s="11">
        <v>45107</v>
      </c>
      <c r="C41" s="11">
        <v>45199</v>
      </c>
      <c r="D41" s="11">
        <v>45291</v>
      </c>
      <c r="E41" s="11">
        <v>45382</v>
      </c>
      <c r="F41" s="11">
        <v>45473</v>
      </c>
      <c r="G41" s="11">
        <v>45565</v>
      </c>
      <c r="H41" s="11">
        <v>45657</v>
      </c>
      <c r="I41" s="11">
        <v>45747</v>
      </c>
      <c r="J41" s="11">
        <v>45838</v>
      </c>
      <c r="K41" s="11">
        <v>45930</v>
      </c>
    </row>
    <row r="42" spans="1:11" s="6" customFormat="1" x14ac:dyDescent="0.3">
      <c r="A42" s="6" t="s">
        <v>6</v>
      </c>
      <c r="B42">
        <v>958.15</v>
      </c>
      <c r="C42">
        <v>819.12</v>
      </c>
      <c r="D42">
        <v>903.47</v>
      </c>
      <c r="E42">
        <v>797.87</v>
      </c>
      <c r="F42">
        <v>944.63</v>
      </c>
      <c r="G42">
        <v>837.14</v>
      </c>
      <c r="H42">
        <v>918.79</v>
      </c>
      <c r="I42">
        <v>788.21</v>
      </c>
      <c r="J42">
        <v>941.85</v>
      </c>
      <c r="K42">
        <v>801.33</v>
      </c>
    </row>
    <row r="43" spans="1:11" s="6" customFormat="1" x14ac:dyDescent="0.3">
      <c r="A43" s="6" t="s">
        <v>7</v>
      </c>
      <c r="B43">
        <v>718.63</v>
      </c>
      <c r="C43">
        <v>637.47</v>
      </c>
      <c r="D43">
        <v>721.03</v>
      </c>
      <c r="E43">
        <v>615.59</v>
      </c>
      <c r="F43">
        <v>760.02</v>
      </c>
      <c r="G43">
        <v>663.08</v>
      </c>
      <c r="H43">
        <v>719.28</v>
      </c>
      <c r="I43">
        <v>610.37</v>
      </c>
      <c r="J43">
        <v>743.03</v>
      </c>
      <c r="K43">
        <v>656.39</v>
      </c>
    </row>
    <row r="44" spans="1:11" s="6" customFormat="1" x14ac:dyDescent="0.3">
      <c r="A44" s="6" t="s">
        <v>9</v>
      </c>
      <c r="B44">
        <v>13.27</v>
      </c>
      <c r="C44">
        <v>-25.4</v>
      </c>
      <c r="D44">
        <v>11.05</v>
      </c>
      <c r="E44">
        <v>21.9</v>
      </c>
      <c r="F44">
        <v>150.53</v>
      </c>
      <c r="G44">
        <v>17.72</v>
      </c>
      <c r="H44">
        <v>-0.92</v>
      </c>
      <c r="I44">
        <v>22.8</v>
      </c>
      <c r="J44">
        <v>12.21</v>
      </c>
      <c r="K44">
        <v>13.16</v>
      </c>
    </row>
    <row r="45" spans="1:11" s="6" customFormat="1" x14ac:dyDescent="0.3">
      <c r="A45" s="6" t="s">
        <v>10</v>
      </c>
      <c r="B45">
        <v>81.09</v>
      </c>
      <c r="C45">
        <v>81.709999999999994</v>
      </c>
      <c r="D45">
        <v>85.99</v>
      </c>
      <c r="E45">
        <v>90.29</v>
      </c>
      <c r="F45">
        <v>87.21</v>
      </c>
      <c r="G45">
        <v>90.21</v>
      </c>
      <c r="H45">
        <v>90.18</v>
      </c>
      <c r="I45">
        <v>103.7</v>
      </c>
      <c r="J45">
        <v>106.09</v>
      </c>
      <c r="K45">
        <v>104.98</v>
      </c>
    </row>
    <row r="46" spans="1:11" s="6" customFormat="1" x14ac:dyDescent="0.3">
      <c r="A46" s="6" t="s">
        <v>11</v>
      </c>
      <c r="B46">
        <v>28.14</v>
      </c>
      <c r="C46">
        <v>28.44</v>
      </c>
      <c r="D46">
        <v>29.46</v>
      </c>
      <c r="E46">
        <v>30.96</v>
      </c>
      <c r="F46">
        <v>30.81</v>
      </c>
      <c r="G46">
        <v>31.79</v>
      </c>
      <c r="H46">
        <v>31.11</v>
      </c>
      <c r="I46">
        <v>34.76</v>
      </c>
      <c r="J46">
        <v>34.869999999999997</v>
      </c>
      <c r="K46">
        <v>33.83</v>
      </c>
    </row>
    <row r="47" spans="1:11" s="6" customFormat="1" x14ac:dyDescent="0.3">
      <c r="A47" s="6" t="s">
        <v>12</v>
      </c>
      <c r="B47">
        <v>143.56</v>
      </c>
      <c r="C47">
        <v>46.1</v>
      </c>
      <c r="D47">
        <v>78.040000000000006</v>
      </c>
      <c r="E47">
        <v>82.93</v>
      </c>
      <c r="F47">
        <v>217.12</v>
      </c>
      <c r="G47">
        <v>69.78</v>
      </c>
      <c r="H47">
        <v>77.3</v>
      </c>
      <c r="I47">
        <v>62.18</v>
      </c>
      <c r="J47">
        <v>70.069999999999993</v>
      </c>
      <c r="K47">
        <v>19.29</v>
      </c>
    </row>
    <row r="48" spans="1:11" s="6" customFormat="1" x14ac:dyDescent="0.3">
      <c r="A48" s="6" t="s">
        <v>13</v>
      </c>
      <c r="B48">
        <v>36.67</v>
      </c>
      <c r="C48">
        <v>12.11</v>
      </c>
      <c r="D48">
        <v>20.05</v>
      </c>
      <c r="E48">
        <v>19.28</v>
      </c>
      <c r="F48">
        <v>43.05</v>
      </c>
      <c r="G48">
        <v>17.8</v>
      </c>
      <c r="H48">
        <v>18.61</v>
      </c>
      <c r="I48">
        <v>16.260000000000002</v>
      </c>
      <c r="J48">
        <v>18.07</v>
      </c>
      <c r="K48">
        <v>5.39</v>
      </c>
    </row>
    <row r="49" spans="1:11" s="6" customFormat="1" x14ac:dyDescent="0.3">
      <c r="A49" s="6" t="s">
        <v>14</v>
      </c>
      <c r="B49">
        <v>106.89</v>
      </c>
      <c r="C49">
        <v>33.99</v>
      </c>
      <c r="D49">
        <v>57.98</v>
      </c>
      <c r="E49">
        <v>63.65</v>
      </c>
      <c r="F49">
        <v>174.06</v>
      </c>
      <c r="G49">
        <v>51.98</v>
      </c>
      <c r="H49">
        <v>58.7</v>
      </c>
      <c r="I49">
        <v>45.92</v>
      </c>
      <c r="J49">
        <v>52</v>
      </c>
      <c r="K49">
        <v>13.9</v>
      </c>
    </row>
    <row r="50" spans="1:11" x14ac:dyDescent="0.3">
      <c r="A50" s="6" t="s">
        <v>8</v>
      </c>
      <c r="B50">
        <v>239.52</v>
      </c>
      <c r="C50">
        <v>181.65</v>
      </c>
      <c r="D50">
        <v>182.44</v>
      </c>
      <c r="E50">
        <v>182.28</v>
      </c>
      <c r="F50">
        <v>184.61</v>
      </c>
      <c r="G50">
        <v>174.06</v>
      </c>
      <c r="H50">
        <v>199.51</v>
      </c>
      <c r="I50">
        <v>177.84</v>
      </c>
      <c r="J50">
        <v>198.82</v>
      </c>
      <c r="K50">
        <v>144.94</v>
      </c>
    </row>
    <row r="51" spans="1:11" x14ac:dyDescent="0.3">
      <c r="A51" s="6"/>
    </row>
    <row r="52" spans="1:11" x14ac:dyDescent="0.3">
      <c r="A52" s="6"/>
    </row>
    <row r="53" spans="1:11" x14ac:dyDescent="0.3">
      <c r="A53" s="6"/>
    </row>
    <row r="54" spans="1:11" x14ac:dyDescent="0.3">
      <c r="A54" s="6"/>
    </row>
    <row r="55" spans="1:11" x14ac:dyDescent="0.3">
      <c r="A55" s="1" t="s">
        <v>39</v>
      </c>
    </row>
    <row r="56" spans="1:11" s="15" customFormat="1" x14ac:dyDescent="0.3">
      <c r="A56" s="14" t="s">
        <v>37</v>
      </c>
      <c r="B56" s="11">
        <v>42460</v>
      </c>
      <c r="C56" s="11">
        <v>42825</v>
      </c>
      <c r="D56" s="11">
        <v>43190</v>
      </c>
      <c r="E56" s="11">
        <v>43555</v>
      </c>
      <c r="F56" s="11">
        <v>43921</v>
      </c>
      <c r="G56" s="11">
        <v>44286</v>
      </c>
      <c r="H56" s="11">
        <v>44651</v>
      </c>
      <c r="I56" s="11">
        <v>45016</v>
      </c>
      <c r="J56" s="11">
        <v>45382</v>
      </c>
      <c r="K56" s="11">
        <v>45747</v>
      </c>
    </row>
    <row r="57" spans="1:11" x14ac:dyDescent="0.3">
      <c r="A57" s="6" t="s">
        <v>24</v>
      </c>
      <c r="B57">
        <v>64.260000000000005</v>
      </c>
      <c r="C57">
        <v>64.260000000000005</v>
      </c>
      <c r="D57">
        <v>64.260000000000005</v>
      </c>
      <c r="E57">
        <v>64.260000000000005</v>
      </c>
      <c r="F57">
        <v>64.260000000000005</v>
      </c>
      <c r="G57">
        <v>64.260000000000005</v>
      </c>
      <c r="H57">
        <v>64.260000000000005</v>
      </c>
      <c r="I57">
        <v>64.260000000000005</v>
      </c>
      <c r="J57">
        <v>64.260000000000005</v>
      </c>
      <c r="K57">
        <v>64.260000000000005</v>
      </c>
    </row>
    <row r="58" spans="1:11" x14ac:dyDescent="0.3">
      <c r="A58" s="6" t="s">
        <v>25</v>
      </c>
      <c r="B58">
        <v>1156.6600000000001</v>
      </c>
      <c r="C58">
        <v>1260.06</v>
      </c>
      <c r="D58">
        <v>1410.43</v>
      </c>
      <c r="E58">
        <v>1677.58</v>
      </c>
      <c r="F58">
        <v>1829.66</v>
      </c>
      <c r="G58">
        <v>1693.83</v>
      </c>
      <c r="H58">
        <v>1750.39</v>
      </c>
      <c r="I58">
        <v>1373.95</v>
      </c>
      <c r="J58">
        <v>1462.63</v>
      </c>
      <c r="K58">
        <v>1510.7</v>
      </c>
    </row>
    <row r="59" spans="1:11" x14ac:dyDescent="0.3">
      <c r="A59" s="6" t="s">
        <v>56</v>
      </c>
      <c r="F59">
        <v>1249.1099999999999</v>
      </c>
      <c r="G59">
        <v>1032.28</v>
      </c>
      <c r="H59">
        <v>1094.21</v>
      </c>
      <c r="I59">
        <v>1246.45</v>
      </c>
      <c r="J59">
        <v>1357.29</v>
      </c>
      <c r="K59">
        <v>1446.45</v>
      </c>
    </row>
    <row r="60" spans="1:11" x14ac:dyDescent="0.3">
      <c r="A60" s="6" t="s">
        <v>57</v>
      </c>
      <c r="B60">
        <v>512.14</v>
      </c>
      <c r="C60">
        <v>598.80999999999995</v>
      </c>
      <c r="D60">
        <v>666.71</v>
      </c>
      <c r="E60">
        <v>732.24</v>
      </c>
      <c r="F60">
        <v>589.42999999999995</v>
      </c>
      <c r="G60">
        <v>542.08000000000004</v>
      </c>
      <c r="H60">
        <v>616.29</v>
      </c>
      <c r="I60">
        <v>587</v>
      </c>
      <c r="J60">
        <v>465.58</v>
      </c>
      <c r="K60">
        <v>801.44</v>
      </c>
    </row>
    <row r="61" spans="1:11" s="1" customFormat="1" x14ac:dyDescent="0.3">
      <c r="A61" s="1" t="s">
        <v>26</v>
      </c>
      <c r="B61">
        <v>1733.06</v>
      </c>
      <c r="C61">
        <v>1923.13</v>
      </c>
      <c r="D61">
        <v>2141.4</v>
      </c>
      <c r="E61">
        <v>2474.08</v>
      </c>
      <c r="F61">
        <v>3732.46</v>
      </c>
      <c r="G61">
        <v>3332.45</v>
      </c>
      <c r="H61">
        <v>3525.15</v>
      </c>
      <c r="I61">
        <v>3271.66</v>
      </c>
      <c r="J61">
        <v>3349.76</v>
      </c>
      <c r="K61">
        <v>3822.85</v>
      </c>
    </row>
    <row r="62" spans="1:11" x14ac:dyDescent="0.3">
      <c r="A62" s="6" t="s">
        <v>27</v>
      </c>
      <c r="B62">
        <v>304.10000000000002</v>
      </c>
      <c r="C62">
        <v>267.95</v>
      </c>
      <c r="D62">
        <v>296.43</v>
      </c>
      <c r="E62">
        <v>316.51</v>
      </c>
      <c r="F62">
        <v>1369.43</v>
      </c>
      <c r="G62">
        <v>1119.51</v>
      </c>
      <c r="H62">
        <v>1225.9000000000001</v>
      </c>
      <c r="I62">
        <v>1391.84</v>
      </c>
      <c r="J62">
        <v>1508.71</v>
      </c>
      <c r="K62">
        <v>1799.5</v>
      </c>
    </row>
    <row r="63" spans="1:11" x14ac:dyDescent="0.3">
      <c r="A63" s="6" t="s">
        <v>28</v>
      </c>
      <c r="B63">
        <v>19.04</v>
      </c>
      <c r="C63">
        <v>29.84</v>
      </c>
      <c r="D63">
        <v>12.12</v>
      </c>
      <c r="E63">
        <v>17.25</v>
      </c>
      <c r="F63">
        <v>19.86</v>
      </c>
      <c r="G63">
        <v>33.61</v>
      </c>
      <c r="H63">
        <v>5.18</v>
      </c>
      <c r="I63">
        <v>3.77</v>
      </c>
      <c r="J63">
        <v>3.72</v>
      </c>
      <c r="K63">
        <v>14.49</v>
      </c>
    </row>
    <row r="64" spans="1:11" x14ac:dyDescent="0.3">
      <c r="A64" s="6" t="s">
        <v>29</v>
      </c>
      <c r="I64">
        <v>0.5</v>
      </c>
      <c r="J64">
        <v>0.5</v>
      </c>
      <c r="K64">
        <v>1</v>
      </c>
    </row>
    <row r="65" spans="1:11" x14ac:dyDescent="0.3">
      <c r="A65" s="6" t="s">
        <v>58</v>
      </c>
      <c r="B65">
        <v>1409.92</v>
      </c>
      <c r="C65">
        <v>1625.34</v>
      </c>
      <c r="D65">
        <v>1832.85</v>
      </c>
      <c r="E65">
        <v>2140.3200000000002</v>
      </c>
      <c r="F65">
        <v>2343.17</v>
      </c>
      <c r="G65">
        <v>2179.33</v>
      </c>
      <c r="H65">
        <v>2294.0700000000002</v>
      </c>
      <c r="I65">
        <v>1875.55</v>
      </c>
      <c r="J65">
        <v>1836.83</v>
      </c>
      <c r="K65">
        <v>2007.86</v>
      </c>
    </row>
    <row r="66" spans="1:11" s="1" customFormat="1" x14ac:dyDescent="0.3">
      <c r="A66" s="1" t="s">
        <v>26</v>
      </c>
      <c r="B66">
        <v>1733.06</v>
      </c>
      <c r="C66">
        <v>1923.13</v>
      </c>
      <c r="D66">
        <v>2141.4</v>
      </c>
      <c r="E66">
        <v>2474.08</v>
      </c>
      <c r="F66">
        <v>3732.46</v>
      </c>
      <c r="G66">
        <v>3332.45</v>
      </c>
      <c r="H66">
        <v>3525.15</v>
      </c>
      <c r="I66">
        <v>3271.66</v>
      </c>
      <c r="J66">
        <v>3349.76</v>
      </c>
      <c r="K66">
        <v>3822.85</v>
      </c>
    </row>
    <row r="67" spans="1:11" s="6" customFormat="1" x14ac:dyDescent="0.3">
      <c r="A67" s="6" t="s">
        <v>63</v>
      </c>
      <c r="B67">
        <v>71</v>
      </c>
      <c r="C67">
        <v>69.41</v>
      </c>
      <c r="D67">
        <v>89.35</v>
      </c>
      <c r="E67">
        <v>66.349999999999994</v>
      </c>
      <c r="F67">
        <v>63.27</v>
      </c>
      <c r="G67">
        <v>79.37</v>
      </c>
      <c r="H67">
        <v>71.72</v>
      </c>
      <c r="I67">
        <v>82.55</v>
      </c>
      <c r="J67">
        <v>80.13</v>
      </c>
      <c r="K67">
        <v>111.76</v>
      </c>
    </row>
    <row r="68" spans="1:11" x14ac:dyDescent="0.3">
      <c r="A68" s="6" t="s">
        <v>43</v>
      </c>
      <c r="B68">
        <v>685.35</v>
      </c>
      <c r="C68">
        <v>713.8</v>
      </c>
      <c r="D68">
        <v>765.17</v>
      </c>
      <c r="E68">
        <v>839.37</v>
      </c>
      <c r="F68">
        <v>873.68</v>
      </c>
      <c r="G68">
        <v>608.28</v>
      </c>
      <c r="H68">
        <v>870.91</v>
      </c>
      <c r="I68">
        <v>904.56</v>
      </c>
      <c r="J68">
        <v>929.55</v>
      </c>
      <c r="K68">
        <v>814.67</v>
      </c>
    </row>
    <row r="69" spans="1:11" x14ac:dyDescent="0.3">
      <c r="A69" s="4" t="s">
        <v>72</v>
      </c>
      <c r="B69">
        <v>342.47</v>
      </c>
      <c r="C69">
        <v>522.04</v>
      </c>
      <c r="D69">
        <v>591.19000000000005</v>
      </c>
      <c r="E69">
        <v>840.32</v>
      </c>
      <c r="F69">
        <v>963.92</v>
      </c>
      <c r="G69">
        <v>1096.82</v>
      </c>
      <c r="H69">
        <v>968.78</v>
      </c>
      <c r="I69">
        <v>531.20000000000005</v>
      </c>
      <c r="J69">
        <v>407.97</v>
      </c>
      <c r="K69">
        <v>634.45000000000005</v>
      </c>
    </row>
    <row r="70" spans="1:11" x14ac:dyDescent="0.3">
      <c r="A70" s="4" t="s">
        <v>59</v>
      </c>
      <c r="B70">
        <v>128527540</v>
      </c>
      <c r="C70">
        <v>128527540</v>
      </c>
      <c r="D70">
        <v>128527540</v>
      </c>
      <c r="E70">
        <v>128527540</v>
      </c>
      <c r="F70">
        <v>128527540</v>
      </c>
      <c r="G70">
        <v>128527540</v>
      </c>
      <c r="H70">
        <v>128527540</v>
      </c>
      <c r="I70">
        <v>128527540</v>
      </c>
      <c r="J70">
        <v>128527540</v>
      </c>
      <c r="K70">
        <v>128527540</v>
      </c>
    </row>
    <row r="71" spans="1:11" x14ac:dyDescent="0.3">
      <c r="A71" s="4" t="s">
        <v>60</v>
      </c>
    </row>
    <row r="72" spans="1:11" x14ac:dyDescent="0.3">
      <c r="A72" s="4" t="s">
        <v>73</v>
      </c>
      <c r="B72">
        <v>5</v>
      </c>
      <c r="C72">
        <v>5</v>
      </c>
      <c r="D72">
        <v>5</v>
      </c>
      <c r="E72">
        <v>5</v>
      </c>
      <c r="F72">
        <v>5</v>
      </c>
      <c r="G72">
        <v>5</v>
      </c>
      <c r="H72">
        <v>5</v>
      </c>
      <c r="I72">
        <v>5</v>
      </c>
      <c r="J72">
        <v>5</v>
      </c>
      <c r="K72">
        <v>5</v>
      </c>
    </row>
    <row r="74" spans="1:11" x14ac:dyDescent="0.3">
      <c r="A74" s="6"/>
    </row>
    <row r="75" spans="1:11" x14ac:dyDescent="0.3">
      <c r="A75" s="6"/>
    </row>
    <row r="76" spans="1:11" x14ac:dyDescent="0.3">
      <c r="A76" s="6"/>
    </row>
    <row r="77" spans="1:11" x14ac:dyDescent="0.3">
      <c r="A77" s="6"/>
    </row>
    <row r="78" spans="1:11" x14ac:dyDescent="0.3">
      <c r="A78" s="6"/>
    </row>
    <row r="79" spans="1:11" x14ac:dyDescent="0.3">
      <c r="A79" s="6"/>
    </row>
    <row r="80" spans="1:11" x14ac:dyDescent="0.3">
      <c r="A80" s="1" t="s">
        <v>40</v>
      </c>
    </row>
    <row r="81" spans="1:11" s="15" customFormat="1" x14ac:dyDescent="0.3">
      <c r="A81" s="14" t="s">
        <v>37</v>
      </c>
      <c r="B81" s="11">
        <v>42460</v>
      </c>
      <c r="C81" s="11">
        <v>42825</v>
      </c>
      <c r="D81" s="11">
        <v>43190</v>
      </c>
      <c r="E81" s="11">
        <v>43555</v>
      </c>
      <c r="F81" s="11">
        <v>43921</v>
      </c>
      <c r="G81" s="11">
        <v>44286</v>
      </c>
      <c r="H81" s="11">
        <v>44651</v>
      </c>
      <c r="I81" s="11">
        <v>45016</v>
      </c>
      <c r="J81" s="11">
        <v>45382</v>
      </c>
      <c r="K81" s="11">
        <v>45747</v>
      </c>
    </row>
    <row r="82" spans="1:11" s="1" customFormat="1" x14ac:dyDescent="0.3">
      <c r="A82" s="6" t="s">
        <v>31</v>
      </c>
      <c r="B82">
        <v>203.64</v>
      </c>
      <c r="C82">
        <v>256.51</v>
      </c>
      <c r="D82">
        <v>160.27000000000001</v>
      </c>
      <c r="E82">
        <v>344.85</v>
      </c>
      <c r="F82">
        <v>581.71</v>
      </c>
      <c r="G82">
        <v>461.05</v>
      </c>
      <c r="H82">
        <v>211.51</v>
      </c>
      <c r="I82">
        <v>628.82000000000005</v>
      </c>
      <c r="J82">
        <v>453.11</v>
      </c>
      <c r="K82">
        <v>737.82</v>
      </c>
    </row>
    <row r="83" spans="1:11" s="6" customFormat="1" x14ac:dyDescent="0.3">
      <c r="A83" s="6" t="s">
        <v>32</v>
      </c>
      <c r="B83">
        <v>-114.31</v>
      </c>
      <c r="C83">
        <v>-228.82</v>
      </c>
      <c r="D83">
        <v>-111.9</v>
      </c>
      <c r="E83">
        <v>-277.64999999999998</v>
      </c>
      <c r="F83">
        <v>-189.01</v>
      </c>
      <c r="G83">
        <v>-52.68</v>
      </c>
      <c r="H83">
        <v>92.8</v>
      </c>
      <c r="I83">
        <v>438.53</v>
      </c>
      <c r="J83">
        <v>40.36</v>
      </c>
      <c r="K83">
        <v>53.05</v>
      </c>
    </row>
    <row r="84" spans="1:11" s="6" customFormat="1" x14ac:dyDescent="0.3">
      <c r="A84" s="6" t="s">
        <v>33</v>
      </c>
      <c r="B84">
        <v>-51.88</v>
      </c>
      <c r="C84">
        <v>-55.7</v>
      </c>
      <c r="D84">
        <v>-55.56</v>
      </c>
      <c r="E84">
        <v>-63.14</v>
      </c>
      <c r="F84">
        <v>-436.08</v>
      </c>
      <c r="G84">
        <v>-369.1</v>
      </c>
      <c r="H84">
        <v>-341.03</v>
      </c>
      <c r="I84">
        <v>-1010.53</v>
      </c>
      <c r="J84">
        <v>-517.95000000000005</v>
      </c>
      <c r="K84">
        <v>-638.04999999999995</v>
      </c>
    </row>
    <row r="85" spans="1:11" s="1" customFormat="1" x14ac:dyDescent="0.3">
      <c r="A85" s="6" t="s">
        <v>34</v>
      </c>
      <c r="B85">
        <v>37.450000000000003</v>
      </c>
      <c r="C85">
        <v>-28.01</v>
      </c>
      <c r="D85">
        <v>-7.18</v>
      </c>
      <c r="E85">
        <v>4.07</v>
      </c>
      <c r="F85">
        <v>-43.37</v>
      </c>
      <c r="G85">
        <v>39.28</v>
      </c>
      <c r="H85">
        <v>-36.72</v>
      </c>
      <c r="I85">
        <v>56.82</v>
      </c>
      <c r="J85">
        <v>-24.48</v>
      </c>
      <c r="K85">
        <v>152.83000000000001</v>
      </c>
    </row>
    <row r="86" spans="1:11" x14ac:dyDescent="0.3">
      <c r="A86" s="6"/>
    </row>
    <row r="87" spans="1:11" x14ac:dyDescent="0.3">
      <c r="A87" s="6"/>
    </row>
    <row r="88" spans="1:11" x14ac:dyDescent="0.3">
      <c r="A88" s="6"/>
    </row>
    <row r="89" spans="1:11" x14ac:dyDescent="0.3">
      <c r="A89" s="6"/>
    </row>
    <row r="90" spans="1:11" s="1" customFormat="1" x14ac:dyDescent="0.3">
      <c r="A90" s="1" t="s">
        <v>62</v>
      </c>
      <c r="B90">
        <v>508.6</v>
      </c>
      <c r="C90">
        <v>567.95000000000005</v>
      </c>
      <c r="D90">
        <v>729.95</v>
      </c>
      <c r="E90">
        <v>1405.05</v>
      </c>
      <c r="F90">
        <v>1231.0999999999999</v>
      </c>
      <c r="G90">
        <v>1406.2</v>
      </c>
      <c r="H90">
        <v>1961.4</v>
      </c>
      <c r="I90">
        <v>1418.35</v>
      </c>
      <c r="J90">
        <v>1364.2</v>
      </c>
      <c r="K90">
        <v>1219.9000000000001</v>
      </c>
    </row>
    <row r="92" spans="1:11" s="1" customFormat="1" x14ac:dyDescent="0.3">
      <c r="A92" s="1" t="s">
        <v>61</v>
      </c>
    </row>
    <row r="93" spans="1:11" x14ac:dyDescent="0.3">
      <c r="A93" s="4" t="s">
        <v>74</v>
      </c>
      <c r="B93" s="16">
        <v>12.85</v>
      </c>
      <c r="C93" s="16">
        <v>12.85</v>
      </c>
      <c r="D93" s="16">
        <v>12.85</v>
      </c>
      <c r="E93" s="16">
        <v>12.85</v>
      </c>
      <c r="F93" s="16">
        <v>12.85</v>
      </c>
      <c r="G93" s="16">
        <v>12.85</v>
      </c>
      <c r="H93" s="16">
        <v>12.85</v>
      </c>
      <c r="I93" s="16">
        <v>12.85</v>
      </c>
      <c r="J93" s="16">
        <v>12.85</v>
      </c>
      <c r="K93" s="16">
        <v>12.85</v>
      </c>
    </row>
  </sheetData>
  <mergeCells count="2">
    <mergeCell ref="E1:K1"/>
    <mergeCell ref="E2:K2"/>
  </mergeCells>
  <conditionalFormatting sqref="E1:K1">
    <cfRule type="cellIs" dxfId="0" priority="1" operator="notEqual">
      <formula>""</formula>
    </cfRule>
  </conditionalFormatting>
  <hyperlinks>
    <hyperlink ref="E1:K1" r:id="rId1" display="https://www.screener.in/excel/" xr:uid="{00000000-0004-0000-05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LBO</vt:lpstr>
      <vt:lpstr>DATA Info</vt:lpstr>
      <vt:lpstr>Profit &amp; Loss</vt:lpstr>
      <vt:lpstr>Data Sheet</vt:lpstr>
      <vt:lpstr>LBO!Print_Area</vt:lpstr>
      <vt:lpstr>UPDATE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Anvay Gulwe</cp:lastModifiedBy>
  <cp:lastPrinted>2025-11-06T07:46:12Z</cp:lastPrinted>
  <dcterms:created xsi:type="dcterms:W3CDTF">2012-08-17T09:55:37Z</dcterms:created>
  <dcterms:modified xsi:type="dcterms:W3CDTF">2025-11-07T07:59:20Z</dcterms:modified>
</cp:coreProperties>
</file>