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D:\Anvay Document\ANVAY-PORTFOLIO-WEBSITE\assets\excel\"/>
    </mc:Choice>
  </mc:AlternateContent>
  <xr:revisionPtr revIDLastSave="0" documentId="13_ncr:1_{ACEFA7E0-58AF-425F-9B5F-957A3A74E9CC}" xr6:coauthVersionLast="47" xr6:coauthVersionMax="47" xr10:uidLastSave="{00000000-0000-0000-0000-000000000000}"/>
  <bookViews>
    <workbookView xWindow="-108" yWindow="-108" windowWidth="23256" windowHeight="12456" tabRatio="674" xr2:uid="{00000000-000D-0000-FFFF-FFFF00000000}"/>
  </bookViews>
  <sheets>
    <sheet name="Cover" sheetId="1" r:id="rId1"/>
    <sheet name="Data Sheet" sheetId="2" r:id="rId2"/>
    <sheet name="Assumptions" sheetId="3" r:id="rId3"/>
    <sheet name="Financials" sheetId="4" r:id="rId4"/>
    <sheet name="Debt Schedule" sheetId="5" r:id="rId5"/>
    <sheet name="LBO Return" sheetId="6" r:id="rId6"/>
    <sheet name="Sensitivity Analysis" sheetId="8" r:id="rId7"/>
  </sheets>
  <definedNames>
    <definedName name="_xlnm.Print_Area" localSheetId="2">Assumptions!$A$1:$I$80</definedName>
    <definedName name="_xlnm.Print_Area" localSheetId="0">Cover!$A$1:$F$27</definedName>
    <definedName name="_xlnm.Print_Area" localSheetId="3">Financials!$A$1:$M$34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78" i="3" l="1"/>
  <c r="D17" i="6" s="1"/>
  <c r="E63" i="3"/>
  <c r="C28" i="5"/>
  <c r="D8" i="5"/>
  <c r="C27" i="2"/>
  <c r="I27" i="2"/>
  <c r="I26" i="2"/>
  <c r="D10" i="3" l="1"/>
  <c r="E42" i="3"/>
  <c r="C8" i="5"/>
  <c r="F9" i="5" s="1"/>
  <c r="F27" i="2"/>
  <c r="D8" i="3"/>
  <c r="K27" i="2"/>
  <c r="J27" i="2"/>
  <c r="H27" i="2"/>
  <c r="G27" i="2"/>
  <c r="E27" i="2"/>
  <c r="D27" i="2"/>
  <c r="L27" i="2"/>
  <c r="G10" i="4" s="1"/>
  <c r="D11" i="3" l="1"/>
  <c r="C9" i="5"/>
  <c r="C11" i="5" s="1"/>
  <c r="E9" i="5"/>
  <c r="G9" i="5"/>
  <c r="D9" i="5"/>
  <c r="D15" i="3"/>
  <c r="D12" i="3"/>
  <c r="D24" i="3"/>
  <c r="D19" i="3"/>
  <c r="D18" i="3"/>
  <c r="D14" i="3"/>
  <c r="D13" i="3"/>
  <c r="D7" i="3"/>
  <c r="D9" i="3" s="1"/>
  <c r="G25" i="4"/>
  <c r="G16" i="4"/>
  <c r="F16" i="4"/>
  <c r="E16" i="4"/>
  <c r="D16" i="4"/>
  <c r="C16" i="4"/>
  <c r="G14" i="4"/>
  <c r="F14" i="4"/>
  <c r="F22" i="4" s="1"/>
  <c r="E14" i="4"/>
  <c r="D14" i="4"/>
  <c r="C14" i="4"/>
  <c r="C10" i="4"/>
  <c r="G8" i="4"/>
  <c r="H8" i="4" s="1"/>
  <c r="G12" i="4"/>
  <c r="F12" i="4"/>
  <c r="E12" i="4"/>
  <c r="D12" i="4"/>
  <c r="C12" i="4"/>
  <c r="F10" i="4"/>
  <c r="F21" i="4" s="1"/>
  <c r="E10" i="4"/>
  <c r="D10" i="4"/>
  <c r="D8" i="4"/>
  <c r="E8" i="4"/>
  <c r="F8" i="4"/>
  <c r="C8" i="4"/>
  <c r="G24" i="4"/>
  <c r="G21" i="5"/>
  <c r="G39" i="3"/>
  <c r="E50" i="3"/>
  <c r="F50" i="3" s="1"/>
  <c r="E49" i="3"/>
  <c r="E48" i="3"/>
  <c r="D27" i="3"/>
  <c r="C31" i="4" l="1"/>
  <c r="D28" i="3"/>
  <c r="E56" i="3" s="1"/>
  <c r="D20" i="3"/>
  <c r="C29" i="5"/>
  <c r="I8" i="4"/>
  <c r="J8" i="4" s="1"/>
  <c r="K8" i="4" s="1"/>
  <c r="L8" i="4" s="1"/>
  <c r="M8" i="4" s="1"/>
  <c r="M12" i="4" s="1"/>
  <c r="H10" i="4"/>
  <c r="H31" i="4" s="1"/>
  <c r="D13" i="4"/>
  <c r="E9" i="4"/>
  <c r="F13" i="4"/>
  <c r="F9" i="4"/>
  <c r="E13" i="4"/>
  <c r="G13" i="4"/>
  <c r="D9" i="4"/>
  <c r="E11" i="4"/>
  <c r="D11" i="4"/>
  <c r="C11" i="4"/>
  <c r="G11" i="4"/>
  <c r="C21" i="4"/>
  <c r="G9" i="4"/>
  <c r="F11" i="4"/>
  <c r="C13" i="4"/>
  <c r="C15" i="4" s="1"/>
  <c r="C17" i="4" s="1"/>
  <c r="C18" i="4" s="1"/>
  <c r="H12" i="4"/>
  <c r="F56" i="3"/>
  <c r="F48" i="3"/>
  <c r="F49" i="3"/>
  <c r="H13" i="4" l="1"/>
  <c r="H11" i="4"/>
  <c r="C65" i="2"/>
  <c r="C40" i="2"/>
  <c r="C43" i="2" s="1"/>
  <c r="L26" i="2" l="1"/>
  <c r="C26" i="2"/>
  <c r="C33" i="4" l="1"/>
  <c r="D25" i="3"/>
  <c r="D12" i="6"/>
  <c r="D9" i="6"/>
  <c r="C20" i="5"/>
  <c r="C22" i="5" s="1"/>
  <c r="C14" i="5"/>
  <c r="D14" i="5" s="1"/>
  <c r="E14" i="5" s="1"/>
  <c r="G33" i="4"/>
  <c r="F33" i="4"/>
  <c r="E33" i="4"/>
  <c r="D33" i="4"/>
  <c r="G31" i="4"/>
  <c r="F31" i="4"/>
  <c r="E31" i="4"/>
  <c r="D31" i="4"/>
  <c r="G23" i="4"/>
  <c r="F23" i="4"/>
  <c r="E23" i="4"/>
  <c r="D23" i="4"/>
  <c r="C23" i="4"/>
  <c r="G22" i="4"/>
  <c r="E22" i="4"/>
  <c r="D22" i="4"/>
  <c r="C22" i="4"/>
  <c r="G21" i="4"/>
  <c r="E21" i="4"/>
  <c r="D21" i="4"/>
  <c r="G15" i="4"/>
  <c r="G17" i="4" s="1"/>
  <c r="F15" i="4"/>
  <c r="F17" i="4" s="1"/>
  <c r="F18" i="4" s="1"/>
  <c r="E15" i="4"/>
  <c r="E17" i="4" s="1"/>
  <c r="D15" i="4"/>
  <c r="D17" i="4" s="1"/>
  <c r="M9" i="4"/>
  <c r="L9" i="4"/>
  <c r="K9" i="4"/>
  <c r="J9" i="4"/>
  <c r="I9" i="4"/>
  <c r="H9" i="4"/>
  <c r="G42" i="3"/>
  <c r="G41" i="3"/>
  <c r="G40" i="3"/>
  <c r="D30" i="3"/>
  <c r="D29" i="3"/>
  <c r="L65" i="2"/>
  <c r="K65" i="2"/>
  <c r="J65" i="2"/>
  <c r="I65" i="2"/>
  <c r="H65" i="2"/>
  <c r="G65" i="2"/>
  <c r="F65" i="2"/>
  <c r="E65" i="2"/>
  <c r="D65" i="2"/>
  <c r="L40" i="2"/>
  <c r="K40" i="2"/>
  <c r="J40" i="2"/>
  <c r="I40" i="2"/>
  <c r="H40" i="2"/>
  <c r="G40" i="2"/>
  <c r="F40" i="2"/>
  <c r="E40" i="2"/>
  <c r="D40" i="2"/>
  <c r="D43" i="2" s="1"/>
  <c r="K26" i="2"/>
  <c r="J26" i="2"/>
  <c r="H26" i="2"/>
  <c r="G26" i="2"/>
  <c r="F26" i="2"/>
  <c r="E26" i="2"/>
  <c r="D26" i="2"/>
  <c r="H24" i="4" l="1"/>
  <c r="H33" i="4" s="1"/>
  <c r="E57" i="3"/>
  <c r="F57" i="3" s="1"/>
  <c r="C27" i="4"/>
  <c r="C34" i="4" s="1"/>
  <c r="D27" i="4"/>
  <c r="D34" i="4" s="1"/>
  <c r="E27" i="4"/>
  <c r="E34" i="4" s="1"/>
  <c r="F27" i="4"/>
  <c r="F34" i="4" s="1"/>
  <c r="D31" i="3"/>
  <c r="G27" i="4"/>
  <c r="G34" i="4" s="1"/>
  <c r="J43" i="2"/>
  <c r="K43" i="2"/>
  <c r="F43" i="2"/>
  <c r="G43" i="2"/>
  <c r="E43" i="2"/>
  <c r="H43" i="2"/>
  <c r="L43" i="2"/>
  <c r="I43" i="2"/>
  <c r="E18" i="4"/>
  <c r="E32" i="4"/>
  <c r="D18" i="4"/>
  <c r="D32" i="4"/>
  <c r="C32" i="4"/>
  <c r="C16" i="5"/>
  <c r="C17" i="5" s="1"/>
  <c r="D20" i="5"/>
  <c r="F32" i="4"/>
  <c r="G18" i="4"/>
  <c r="G32" i="4"/>
  <c r="C23" i="5"/>
  <c r="D43" i="6"/>
  <c r="H42" i="3"/>
  <c r="H25" i="4"/>
  <c r="D32" i="3" l="1"/>
  <c r="D34" i="3"/>
  <c r="D10" i="6"/>
  <c r="D13" i="6"/>
  <c r="H26" i="4"/>
  <c r="H21" i="4"/>
  <c r="F39" i="3"/>
  <c r="F40" i="3"/>
  <c r="F42" i="3"/>
  <c r="F41" i="3"/>
  <c r="I25" i="4"/>
  <c r="I12" i="4"/>
  <c r="I24" i="4"/>
  <c r="I33" i="4" s="1"/>
  <c r="I10" i="4"/>
  <c r="E20" i="5"/>
  <c r="D22" i="5"/>
  <c r="D23" i="5" s="1"/>
  <c r="D16" i="5"/>
  <c r="D17" i="5" s="1"/>
  <c r="I13" i="4" l="1"/>
  <c r="E58" i="3"/>
  <c r="F58" i="3" s="1"/>
  <c r="F59" i="3" s="1"/>
  <c r="D35" i="3"/>
  <c r="E43" i="3" s="1"/>
  <c r="E44" i="3" s="1"/>
  <c r="C27" i="5"/>
  <c r="C10" i="5"/>
  <c r="C26" i="5" s="1"/>
  <c r="H14" i="4" s="1"/>
  <c r="E22" i="5"/>
  <c r="E23" i="5" s="1"/>
  <c r="F20" i="5"/>
  <c r="G20" i="5" s="1"/>
  <c r="I21" i="4"/>
  <c r="I31" i="4"/>
  <c r="I11" i="4"/>
  <c r="J25" i="4"/>
  <c r="J12" i="4"/>
  <c r="J24" i="4"/>
  <c r="J33" i="4" s="1"/>
  <c r="J10" i="4"/>
  <c r="F14" i="5"/>
  <c r="E16" i="5"/>
  <c r="E17" i="5" s="1"/>
  <c r="J13" i="4" l="1"/>
  <c r="G22" i="5"/>
  <c r="H20" i="5" s="1"/>
  <c r="H22" i="5" s="1"/>
  <c r="H23" i="5" s="1"/>
  <c r="E59" i="3"/>
  <c r="G58" i="3" s="1"/>
  <c r="F43" i="3"/>
  <c r="D11" i="6"/>
  <c r="D27" i="6"/>
  <c r="D41" i="6"/>
  <c r="E51" i="3"/>
  <c r="J21" i="4"/>
  <c r="J31" i="4"/>
  <c r="J11" i="4"/>
  <c r="H22" i="4"/>
  <c r="H15" i="4"/>
  <c r="H16" i="4" s="1"/>
  <c r="G14" i="5"/>
  <c r="F16" i="5"/>
  <c r="F17" i="5" s="1"/>
  <c r="K10" i="4"/>
  <c r="K12" i="4"/>
  <c r="K25" i="4"/>
  <c r="K24" i="4"/>
  <c r="K33" i="4" s="1"/>
  <c r="F22" i="5"/>
  <c r="F23" i="5" s="1"/>
  <c r="D29" i="5"/>
  <c r="I26" i="4" s="1"/>
  <c r="H14" i="5" l="1"/>
  <c r="G23" i="5"/>
  <c r="K13" i="4"/>
  <c r="G57" i="3"/>
  <c r="G56" i="3"/>
  <c r="F51" i="3"/>
  <c r="F52" i="3" s="1"/>
  <c r="E52" i="3"/>
  <c r="D11" i="5"/>
  <c r="D27" i="5" s="1"/>
  <c r="D28" i="5" s="1"/>
  <c r="L24" i="4"/>
  <c r="L33" i="4" s="1"/>
  <c r="L10" i="4"/>
  <c r="L12" i="4"/>
  <c r="L25" i="4"/>
  <c r="K31" i="4"/>
  <c r="K21" i="4"/>
  <c r="K11" i="4"/>
  <c r="G16" i="5"/>
  <c r="G17" i="5" s="1"/>
  <c r="H16" i="5" l="1"/>
  <c r="H17" i="5" s="1"/>
  <c r="L13" i="4"/>
  <c r="H23" i="4"/>
  <c r="H27" i="4" s="1"/>
  <c r="G59" i="3"/>
  <c r="G49" i="3"/>
  <c r="G48" i="3"/>
  <c r="G50" i="3"/>
  <c r="G51" i="3"/>
  <c r="D10" i="5"/>
  <c r="D26" i="5" s="1"/>
  <c r="I14" i="4" s="1"/>
  <c r="I22" i="4" s="1"/>
  <c r="E8" i="5"/>
  <c r="E29" i="5" s="1"/>
  <c r="J26" i="4" s="1"/>
  <c r="H17" i="4"/>
  <c r="M24" i="4"/>
  <c r="M33" i="4" s="1"/>
  <c r="M10" i="4"/>
  <c r="M25" i="4"/>
  <c r="L21" i="4"/>
  <c r="L31" i="4"/>
  <c r="L11" i="4"/>
  <c r="M13" i="4" l="1"/>
  <c r="D16" i="6"/>
  <c r="D18" i="6" s="1"/>
  <c r="D28" i="6"/>
  <c r="H34" i="4"/>
  <c r="C79" i="3"/>
  <c r="C80" i="3" s="1"/>
  <c r="G52" i="3"/>
  <c r="I15" i="4"/>
  <c r="I16" i="4" s="1"/>
  <c r="I23" i="4" s="1"/>
  <c r="I27" i="4" s="1"/>
  <c r="H32" i="4"/>
  <c r="H18" i="4"/>
  <c r="E11" i="5"/>
  <c r="M11" i="4"/>
  <c r="M31" i="4"/>
  <c r="M21" i="4"/>
  <c r="D29" i="6" l="1"/>
  <c r="I34" i="4"/>
  <c r="E27" i="5"/>
  <c r="E28" i="5" s="1"/>
  <c r="F8" i="5"/>
  <c r="E10" i="5"/>
  <c r="E26" i="5" s="1"/>
  <c r="J14" i="4" s="1"/>
  <c r="I17" i="4"/>
  <c r="F29" i="5" l="1"/>
  <c r="K26" i="4" s="1"/>
  <c r="J22" i="4"/>
  <c r="J15" i="4"/>
  <c r="I32" i="4"/>
  <c r="I18" i="4"/>
  <c r="F11" i="5" l="1"/>
  <c r="F10" i="5" s="1"/>
  <c r="F26" i="5" s="1"/>
  <c r="K14" i="4" s="1"/>
  <c r="K15" i="4" s="1"/>
  <c r="J16" i="4"/>
  <c r="J23" i="4" s="1"/>
  <c r="J27" i="4" s="1"/>
  <c r="G8" i="5" l="1"/>
  <c r="K22" i="4"/>
  <c r="F27" i="5"/>
  <c r="F28" i="5" s="1"/>
  <c r="J34" i="4"/>
  <c r="D30" i="6"/>
  <c r="K16" i="4"/>
  <c r="K23" i="4" s="1"/>
  <c r="K27" i="4" s="1"/>
  <c r="D31" i="6" s="1"/>
  <c r="J17" i="4"/>
  <c r="G29" i="5" l="1"/>
  <c r="L26" i="4" s="1"/>
  <c r="G11" i="5"/>
  <c r="H8" i="5" s="1"/>
  <c r="K17" i="4"/>
  <c r="J32" i="4"/>
  <c r="J18" i="4"/>
  <c r="H29" i="5" l="1"/>
  <c r="M26" i="4" s="1"/>
  <c r="G10" i="5"/>
  <c r="G26" i="5" s="1"/>
  <c r="L14" i="4" s="1"/>
  <c r="L15" i="4" s="1"/>
  <c r="G27" i="5"/>
  <c r="G28" i="5" s="1"/>
  <c r="K34" i="4"/>
  <c r="K32" i="4"/>
  <c r="K18" i="4"/>
  <c r="L16" i="4" l="1"/>
  <c r="L23" i="4" s="1"/>
  <c r="H11" i="5"/>
  <c r="H10" i="5" s="1"/>
  <c r="L22" i="4"/>
  <c r="H27" i="5" l="1"/>
  <c r="D19" i="6" s="1"/>
  <c r="D20" i="6" s="1"/>
  <c r="L17" i="4"/>
  <c r="L18" i="4" s="1"/>
  <c r="L27" i="4"/>
  <c r="D32" i="6" s="1"/>
  <c r="H26" i="5"/>
  <c r="M14" i="4" s="1"/>
  <c r="M22" i="4" s="1"/>
  <c r="D21" i="6" l="1"/>
  <c r="D22" i="6" s="1"/>
  <c r="D42" i="6" s="1"/>
  <c r="H28" i="5"/>
  <c r="L32" i="4"/>
  <c r="L34" i="4"/>
  <c r="M15" i="4"/>
  <c r="D37" i="6" l="1"/>
  <c r="B21" i="8" s="1"/>
  <c r="D45" i="6"/>
  <c r="M16" i="4"/>
  <c r="M23" i="4" s="1"/>
  <c r="M27" i="4" s="1"/>
  <c r="D33" i="6" s="1"/>
  <c r="D36" i="6" s="1"/>
  <c r="B12" i="8" s="1"/>
  <c r="D44" i="6"/>
  <c r="M17" i="4" l="1"/>
  <c r="M18" i="4" s="1"/>
  <c r="M34" i="4"/>
  <c r="M3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B27" authorId="0" shapeId="0" xr:uid="{CC5F0B40-BF38-4CF5-8D66-1F269AB9F121}">
      <text>
        <r>
          <rPr>
            <b/>
            <sz val="9"/>
            <color indexed="81"/>
            <rFont val="Tahoma"/>
            <family val="2"/>
          </rPr>
          <t>Anvay:</t>
        </r>
        <r>
          <rPr>
            <sz val="9"/>
            <color indexed="81"/>
            <rFont val="Tahoma"/>
            <family val="2"/>
          </rPr>
          <t xml:space="preserve">
Initially used Revenue − Expenses method, but it didn’t match with PBT (EBITDA ≈ PBT, which isn’t possible after depreciation &amp; interest). Identified double-counting in raw expense data. Switched to a more reliable method: PBT + Depreciation + Interest − Other Income (based on audited P&amp;L).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D7" authorId="0" shapeId="0" xr:uid="{7D507109-C37B-48E5-B59F-771482AFD3CD}">
      <text>
        <r>
          <rPr>
            <b/>
            <sz val="9"/>
            <color indexed="81"/>
            <rFont val="Tahoma"/>
            <family val="2"/>
          </rPr>
          <t>Anvay:</t>
        </r>
        <r>
          <rPr>
            <sz val="9"/>
            <color indexed="81"/>
            <rFont val="Tahoma"/>
            <family val="2"/>
          </rPr>
          <t xml:space="preserve">
₹1,386.48 Cr
This is the full year standalone revenue for FY25. The data is taken from Screener.in. No seasonality adjustment is needed since FY25 covers the full 12 months.</t>
        </r>
      </text>
    </comment>
    <comment ref="D8" authorId="0" shapeId="0" xr:uid="{9C9AB531-3258-4B09-95B1-5AAB51D89419}">
      <text>
        <r>
          <rPr>
            <b/>
            <sz val="9"/>
            <color indexed="81"/>
            <rFont val="Tahoma"/>
            <family val="2"/>
          </rPr>
          <t>Anvay:</t>
        </r>
        <r>
          <rPr>
            <sz val="9"/>
            <color indexed="81"/>
            <rFont val="Tahoma"/>
            <family val="2"/>
          </rPr>
          <t xml:space="preserve">
Calculated using a bottom-up method: EBITDA = PBT + Depreciation + Interest − Other Income. This approach is used because adding all expense line items directly can double count costs and give incorrect results. Using key audited figures (PBT, D&amp;A, interest, other income) gives a reliable EBITDA. The result closely matches Screener’s Operating Profit (~₹643 Cr), which confirms the accuracy.</t>
        </r>
      </text>
    </comment>
    <comment ref="D9" authorId="0" shapeId="0" xr:uid="{699A8ED8-E1FC-4AED-ACAD-47713B6798FF}">
      <text>
        <r>
          <rPr>
            <b/>
            <sz val="9"/>
            <color indexed="81"/>
            <rFont val="Tahoma"/>
            <family val="2"/>
          </rPr>
          <t>Anvay:</t>
        </r>
        <r>
          <rPr>
            <sz val="9"/>
            <color indexed="81"/>
            <rFont val="Tahoma"/>
            <family val="2"/>
          </rPr>
          <t xml:space="preserve">
The FY26 estimate is slightly lower at ~44%, based on management commentary, reflecting the impact of GST headwinds.</t>
        </r>
      </text>
    </comment>
    <comment ref="D10" authorId="0" shapeId="0" xr:uid="{47832298-101E-4230-B700-BA3207E7E391}">
      <text>
        <r>
          <rPr>
            <b/>
            <sz val="9"/>
            <color indexed="81"/>
            <rFont val="Tahoma"/>
            <family val="2"/>
          </rPr>
          <t>Anvay:</t>
        </r>
        <r>
          <rPr>
            <sz val="9"/>
            <color indexed="81"/>
            <rFont val="Tahoma"/>
            <family val="2"/>
          </rPr>
          <t xml:space="preserve">
This is taken directly from the FY25 P&amp;L (Screener.in). It includes lease depreciation (Ind AS 116), which is why it increased from ₹97 Cr in FY23 to ₹153 Cr in FY25 due to store expansion and new leases being added.</t>
        </r>
      </text>
    </comment>
    <comment ref="D12" authorId="0" shapeId="0" xr:uid="{9A7548B2-9828-44E0-BDA2-CDFAB6A557C4}">
      <text>
        <r>
          <rPr>
            <b/>
            <sz val="9"/>
            <color indexed="81"/>
            <rFont val="Tahoma"/>
            <family val="2"/>
          </rPr>
          <t>Anvay:</t>
        </r>
        <r>
          <rPr>
            <sz val="9"/>
            <color indexed="81"/>
            <rFont val="Tahoma"/>
            <family val="2"/>
          </rPr>
          <t xml:space="preserve">
This figure is sourced directly from the FY25 P&amp;L and represents the company’s finance costs, including lease interest under Ind AS 116. The significantly higher ₹282 Cr in FY26 is due to the additional debt from the LBO. This increase is intentional and is used to assess the company’s ability to service a higher debt burden in the model.</t>
        </r>
      </text>
    </comment>
    <comment ref="D13" authorId="0" shapeId="0" xr:uid="{EC1E515A-6E62-45AB-907B-413ECA319A95}">
      <text>
        <r>
          <rPr>
            <b/>
            <sz val="9"/>
            <color indexed="81"/>
            <rFont val="Tahoma"/>
            <family val="2"/>
          </rPr>
          <t>Anvay:</t>
        </r>
        <r>
          <rPr>
            <sz val="9"/>
            <color indexed="81"/>
            <rFont val="Tahoma"/>
            <family val="2"/>
          </rPr>
          <t xml:space="preserve">
Calculated as FY25 Tax (₹131.03 Cr) divided by FY25 PBT (₹519.50 Cr). This matches the ~25% corporate tax rate under the new regime. The same rate is used for all future years, assuming no MAT issues for a consistently profitable company.</t>
        </r>
      </text>
    </comment>
    <comment ref="D14" authorId="0" shapeId="0" xr:uid="{573758C8-C5F1-496B-A97B-C584ECFF585F}">
      <text>
        <r>
          <rPr>
            <b/>
            <sz val="9"/>
            <color indexed="81"/>
            <rFont val="Tahoma"/>
            <family val="2"/>
          </rPr>
          <t>Anvay:</t>
        </r>
        <r>
          <rPr>
            <sz val="9"/>
            <color indexed="81"/>
            <rFont val="Tahoma"/>
            <family val="2"/>
          </rPr>
          <t xml:space="preserve">
Calculated as FY25 Tax (₹131.03 Cr) divided by FY25 PBT (₹519 Cr), giving 25.22%. This matches the ~25% corporate tax rate under the new regime. The same rate is used for future years, which is conservative since there are no MAT complications for a company like this.</t>
        </r>
      </text>
    </comment>
    <comment ref="D16" authorId="0" shapeId="0" xr:uid="{5C7F01AE-ACB1-4C7C-8275-04BA24DD40C6}">
      <text>
        <r>
          <rPr>
            <b/>
            <sz val="9"/>
            <color indexed="81"/>
            <rFont val="Tahoma"/>
            <family val="2"/>
          </rPr>
          <t>Anvay:</t>
        </r>
        <r>
          <rPr>
            <sz val="9"/>
            <color indexed="81"/>
            <rFont val="Tahoma"/>
            <family val="2"/>
          </rPr>
          <t xml:space="preserve">
Calculated using the Gross Block method because the cash flow statement understates CapEx under Ind AS 116. New lease assets are added directly to Gross Block and don’t fully show in cash flow. So, FY25 Gross Block (₹1,241 Cr) minus FY24 (₹1,125 Cr) gives ₹116 Cr increase, minus ₹2 Cr disposals = ₹114 Cr actual CapEx.</t>
        </r>
      </text>
    </comment>
    <comment ref="D17" authorId="0" shapeId="0" xr:uid="{5AEC6C71-9122-4F44-8D59-18A2A574C33E}">
      <text>
        <r>
          <rPr>
            <b/>
            <sz val="9"/>
            <color indexed="81"/>
            <rFont val="Tahoma"/>
            <family val="2"/>
          </rPr>
          <t>Anvay:</t>
        </r>
        <r>
          <rPr>
            <sz val="9"/>
            <color indexed="81"/>
            <rFont val="Tahoma"/>
            <family val="2"/>
          </rPr>
          <t xml:space="preserve">
Calculated from the balance sheet using NWC = Receivables + Inventory − Payables. FY25 NWC is ₹719 Cr vs ₹615 Cr in FY24, so the increase is ₹104 Cr, meaning cash outflow. The rise is due to higher inventory, in line with management commentary. It is expected to normalise from FY26 onwards.</t>
        </r>
      </text>
    </comment>
    <comment ref="D18" authorId="0" shapeId="0" xr:uid="{130E27E8-BECE-44EC-BCEB-B4C39283F0BF}">
      <text>
        <r>
          <rPr>
            <b/>
            <sz val="9"/>
            <color indexed="81"/>
            <rFont val="Tahoma"/>
            <family val="2"/>
          </rPr>
          <t>Anvay:</t>
        </r>
        <r>
          <rPr>
            <sz val="9"/>
            <color indexed="81"/>
            <rFont val="Tahoma"/>
            <family val="2"/>
          </rPr>
          <t xml:space="preserve">
Taken from the FY25 Balance Sheet (Screener.in). This is mainly lease liabilities under Ind AS 116, not regular bank debt. So, the company has no traditional borrowings. In the LBO, this is treated as part of total uses and gets refinanced.</t>
        </r>
      </text>
    </comment>
    <comment ref="D19" authorId="0" shapeId="0" xr:uid="{18ED71B8-B2E5-4307-A21D-1DFCCBBF30DD}">
      <text>
        <r>
          <rPr>
            <b/>
            <sz val="9"/>
            <color indexed="81"/>
            <rFont val="Tahoma"/>
            <family val="2"/>
          </rPr>
          <t>Anvay:</t>
        </r>
        <r>
          <rPr>
            <sz val="9"/>
            <color indexed="81"/>
            <rFont val="Tahoma"/>
            <family val="2"/>
          </rPr>
          <t xml:space="preserve">
Taken from the FY25 Balance Sheet. The company keeps very little cash, as surplus funds are invested in short-term investments (like mutual funds). In the LBO, only this cash balance is adjusted against debt, while investments are not included since they are not immediate cash.</t>
        </r>
      </text>
    </comment>
    <comment ref="D23" authorId="0" shapeId="0" xr:uid="{9B4941E1-0F2D-418C-BB53-ACD197505C89}">
      <text>
        <r>
          <rPr>
            <b/>
            <sz val="9"/>
            <color indexed="81"/>
            <rFont val="Tahoma"/>
            <family val="2"/>
          </rPr>
          <t>Anvay:</t>
        </r>
        <r>
          <rPr>
            <sz val="9"/>
            <color indexed="81"/>
            <rFont val="Tahoma"/>
            <family val="2"/>
          </rPr>
          <t xml:space="preserve">
This is taken from Screener.in as the approximate market price in March 2026. The stock has fallen from its peak of ₹1,439 in FY23 due to weak performance over the last three years, which creates a potential take-private opportunity.</t>
        </r>
      </text>
    </comment>
    <comment ref="D24" authorId="0" shapeId="0" xr:uid="{C51E1523-99BE-401C-8236-4A71776518E2}">
      <text>
        <r>
          <rPr>
            <b/>
            <sz val="9"/>
            <color indexed="81"/>
            <rFont val="Tahoma"/>
            <family val="2"/>
          </rPr>
          <t>Anvay:</t>
        </r>
        <r>
          <rPr>
            <sz val="9"/>
            <color indexed="81"/>
            <rFont val="Tahoma"/>
            <family val="2"/>
          </rPr>
          <t xml:space="preserve">
Face value ₹1 per share. No dilution adjustment needed. No active ESOP issuances flagged in the AR.</t>
        </r>
      </text>
    </comment>
    <comment ref="D26" authorId="0" shapeId="0" xr:uid="{FA8CC615-9EC7-47FC-ACDF-83600FF2F36C}">
      <text>
        <r>
          <rPr>
            <b/>
            <sz val="9"/>
            <color indexed="81"/>
            <rFont val="Tahoma"/>
            <family val="2"/>
          </rPr>
          <t>Anvay:</t>
        </r>
        <r>
          <rPr>
            <sz val="9"/>
            <color indexed="81"/>
            <rFont val="Tahoma"/>
            <family val="2"/>
          </rPr>
          <t xml:space="preserve">
This is an assumption. Take-private deals in India usually happen at a 20–35% premium, so 30% is taken as the midpoint. It is enough to make the offer credible and get approval. At ₹455 per share, the valuation is ~17.9x EBITDA, which is reasonable for a consumer brand at a low point in its cycle.
</t>
        </r>
      </text>
    </comment>
    <comment ref="D32" authorId="0" shapeId="0" xr:uid="{F2A6B079-2E56-4865-A79A-3C155B018922}">
      <text>
        <r>
          <rPr>
            <b/>
            <sz val="9"/>
            <color indexed="81"/>
            <rFont val="Tahoma"/>
            <family val="2"/>
          </rPr>
          <t>Anvay:</t>
        </r>
        <r>
          <rPr>
            <sz val="9"/>
            <color indexed="81"/>
            <rFont val="Tahoma"/>
            <family val="2"/>
          </rPr>
          <t xml:space="preserve">
This is a calculated value: ₹11,520.77 Cr divided by ₹642.61 Cr EBITDA. It is much lower than the company’s earlier 30x+ peak during high-growth years. The idea is to enter at a low point and exit later at a higher, normalised multiple after recovery.</t>
        </r>
      </text>
    </comment>
    <comment ref="D33" authorId="0" shapeId="0" xr:uid="{1DAC0003-66C0-4D31-ABCE-61C59FB0D329}">
      <text>
        <r>
          <rPr>
            <b/>
            <sz val="9"/>
            <color indexed="81"/>
            <rFont val="Tahoma"/>
            <family val="2"/>
          </rPr>
          <t>Anvay:</t>
        </r>
        <r>
          <rPr>
            <sz val="9"/>
            <color indexed="81"/>
            <rFont val="Tahoma"/>
            <family val="2"/>
          </rPr>
          <t xml:space="preserve">
This is an assumption. Investment banking fees for such deals are usually 1–2% of the deal value, so 2% is taken as a conservative estimate. This includes advisory, legal, regulatory (SEBI), and financing costs.</t>
        </r>
      </text>
    </comment>
    <comment ref="B39" authorId="0" shapeId="0" xr:uid="{BD478915-10F7-4D81-B7FF-E5EA99031D94}">
      <text>
        <r>
          <rPr>
            <b/>
            <sz val="9"/>
            <color indexed="81"/>
            <rFont val="Tahoma"/>
            <family val="2"/>
          </rPr>
          <t>Anvay:</t>
        </r>
        <r>
          <rPr>
            <sz val="9"/>
            <color indexed="81"/>
            <rFont val="Tahoma"/>
            <family val="2"/>
          </rPr>
          <t xml:space="preserve">
₹1,800 Cr at 10.5%, 5-year amortising (₹360 Cr per year)
₹1,800 Cr is ~2.8x LTM EBITDA, within the typical ~3.0x limit for Indian banks. The 5-year tenure matches the investment period. The loan is repaid at ₹360 Cr every year (20% of original amount), ensuring full repayment by FY30. The 10.5% rate is based on MCLR (~9%) plus ~1.5% margin for leveraged deals.</t>
        </r>
      </text>
    </comment>
    <comment ref="B40" authorId="0" shapeId="0" xr:uid="{D8078D2D-C421-47FD-BCB3-D926B74F4801}">
      <text>
        <r>
          <rPr>
            <b/>
            <sz val="9"/>
            <color indexed="81"/>
            <rFont val="Tahoma"/>
            <family val="2"/>
          </rPr>
          <t>Anvay:</t>
        </r>
        <r>
          <rPr>
            <sz val="9"/>
            <color indexed="81"/>
            <rFont val="Tahoma"/>
            <family val="2"/>
          </rPr>
          <t xml:space="preserve">
₹700 Cr at 12%, bullet repayment (FY31)
₹700 Cr is ~1.09x EBITDA and represents subordinated debt. It is repaid fully at exit (FY31), which is standard for such loans. The 12% rate reflects higher risk.</t>
        </r>
      </text>
    </comment>
    <comment ref="B41" authorId="0" shapeId="0" xr:uid="{09B0A288-E2EC-47E4-8700-B0904B803891}">
      <text>
        <r>
          <rPr>
            <b/>
            <sz val="9"/>
            <color indexed="81"/>
            <rFont val="Tahoma"/>
            <family val="2"/>
          </rPr>
          <t>Anvay:</t>
        </r>
        <r>
          <rPr>
            <sz val="9"/>
            <color indexed="81"/>
            <rFont val="Tahoma"/>
            <family val="2"/>
          </rPr>
          <t xml:space="preserve">
₹200 Cr at 14%, bullet repayment (FY30)
This is a small mezzanine debt (NCD). The 14% rate is higher due to higher risk and lower priority in repayment. It is repaid fully in FY30, one year before exit, to reduce risk. At ~0.31x EBITDA, it is a small portion. </t>
        </r>
      </text>
    </comment>
    <comment ref="E43" authorId="0" shapeId="0" xr:uid="{A030E6B8-6051-4C14-9FBB-1C87BEBD0471}">
      <text>
        <r>
          <rPr>
            <b/>
            <sz val="9"/>
            <color indexed="81"/>
            <rFont val="Tahoma"/>
            <family val="2"/>
          </rPr>
          <t>Anvay:</t>
        </r>
        <r>
          <rPr>
            <sz val="9"/>
            <color indexed="81"/>
            <rFont val="Tahoma"/>
            <family val="2"/>
          </rPr>
          <t xml:space="preserve">
This is the remaining funding after total uses (₹11,768.41 Cr) minus total debt (₹2,700 Cr). It shows a high equity portion, which is common in India where deals use less debt than US LBOs. Such a large equity amount would typically come from a PE buyout fund.</t>
        </r>
      </text>
    </comment>
    <comment ref="B63" authorId="0" shapeId="0" xr:uid="{CB1AAB62-69F6-4186-8759-400C30C606DC}">
      <text>
        <r>
          <rPr>
            <b/>
            <sz val="9"/>
            <color indexed="81"/>
            <rFont val="Tahoma"/>
            <family val="2"/>
          </rPr>
          <t>Anvay:</t>
        </r>
        <r>
          <rPr>
            <sz val="9"/>
            <color indexed="81"/>
            <rFont val="Tahoma"/>
            <family val="2"/>
          </rPr>
          <t xml:space="preserve">
In a weak environment growth may dip to ~6%, but management expects a recovery to ~10–12% driven by store expansion and Twamev.</t>
        </r>
      </text>
    </comment>
    <comment ref="D63" authorId="0" shapeId="0" xr:uid="{278C932A-AAF6-4714-9C75-C7BCDA293F52}">
      <text>
        <r>
          <rPr>
            <b/>
            <sz val="9"/>
            <color indexed="81"/>
            <rFont val="Tahoma"/>
            <family val="2"/>
          </rPr>
          <t>Anvay:</t>
        </r>
        <r>
          <rPr>
            <sz val="9"/>
            <color indexed="81"/>
            <rFont val="Tahoma"/>
            <family val="2"/>
          </rPr>
          <t xml:space="preserve">
Revenue growth in the first 9 months of FY26 was only 1.7% year-on-year, which shows weak performance so far. However, the fourth quarter is usually stronger due to the wedding season, which boosts demand. Therefore, I have assumed a 6% full-year growth, expecting some recovery in Q4. This assumption is conservative compared to management’s more optimistic view on economic improvement.</t>
        </r>
      </text>
    </comment>
    <comment ref="E63" authorId="0" shapeId="0" xr:uid="{20E8418A-EC9F-40BC-B939-0CF1C7F8D0E7}">
      <text>
        <r>
          <rPr>
            <b/>
            <sz val="9"/>
            <color indexed="81"/>
            <rFont val="Tahoma"/>
            <family val="2"/>
          </rPr>
          <t>Anvay:</t>
        </r>
        <r>
          <rPr>
            <sz val="9"/>
            <color indexed="81"/>
            <rFont val="Tahoma"/>
            <family val="2"/>
          </rPr>
          <t xml:space="preserve">
Growth improves due to store expansion, strong performance of Twamev, and GST impact settling. 10% is still conservative compared to past growth of 31% (FY23) and 86% (FY22).</t>
        </r>
      </text>
    </comment>
    <comment ref="F63" authorId="0" shapeId="0" xr:uid="{DE205771-6D6C-41E0-812A-44D5D3416812}">
      <text>
        <r>
          <rPr>
            <b/>
            <sz val="9"/>
            <color indexed="81"/>
            <rFont val="Tahoma"/>
            <family val="2"/>
          </rPr>
          <t>Anvay:</t>
        </r>
        <r>
          <rPr>
            <sz val="9"/>
            <color indexed="81"/>
            <rFont val="Tahoma"/>
            <family val="2"/>
          </rPr>
          <t xml:space="preserve">
FY28–FY30 at 12%
Assumes stable growth after recovery. Supported by growth in India’s wedding wear market, shift towards branded products like Manyavar/Twamev, and planned store expansion by management.
</t>
        </r>
      </text>
    </comment>
    <comment ref="I63" authorId="0" shapeId="0" xr:uid="{D1C421D9-8A46-4736-9379-B7E1464D16CE}">
      <text>
        <r>
          <rPr>
            <b/>
            <sz val="9"/>
            <color indexed="81"/>
            <rFont val="Tahoma"/>
            <family val="2"/>
          </rPr>
          <t>Anvay:</t>
        </r>
        <r>
          <rPr>
            <sz val="9"/>
            <color indexed="81"/>
            <rFont val="Tahoma"/>
            <family val="2"/>
          </rPr>
          <t xml:space="preserve">
FY31 at 11%
Growth is slightly reduced as the business becomes larger, since companies usually grow slower at higher revenue levels (~₹2,500 Cr).
</t>
        </r>
      </text>
    </comment>
    <comment ref="B65" authorId="0" shapeId="0" xr:uid="{CC4C8C8F-92E2-46E4-950A-2A8449F0C9FD}">
      <text>
        <r>
          <rPr>
            <b/>
            <sz val="9"/>
            <color indexed="81"/>
            <rFont val="Tahoma"/>
            <family val="2"/>
          </rPr>
          <t>Anvay:</t>
        </r>
        <r>
          <rPr>
            <sz val="9"/>
            <color indexed="81"/>
            <rFont val="Tahoma"/>
            <family val="2"/>
          </rPr>
          <t xml:space="preserve">
Management indicated margins around ~44% for FY26 (based on the 9M concall). With operating leverage kicking in and a higher share of premium products from Twamev, margins could improve further to about 46.5%.</t>
        </r>
      </text>
    </comment>
    <comment ref="D65" authorId="0" shapeId="0" xr:uid="{096A6A78-FA21-455A-ADE0-E0D2A065B816}">
      <text>
        <r>
          <rPr>
            <b/>
            <sz val="9"/>
            <color indexed="81"/>
            <rFont val="Tahoma"/>
            <family val="2"/>
          </rPr>
          <t>Anvay:</t>
        </r>
        <r>
          <rPr>
            <sz val="9"/>
            <color indexed="81"/>
            <rFont val="Tahoma"/>
            <family val="2"/>
          </rPr>
          <t xml:space="preserve">
FY26 EBITDA margin is assumed at 44% based on management guidance. The CFO mentioned in the Q3 FY26 call that margins are around 44% for the first 9 months. This is lower than FY25’s margin of 46.3% because the company absorbed the impact of higher GST. Since GST increased from 12% to 18% on most products, the company did not fully pass this cost to customers in order to maintain sales volume, which led to lower margins.</t>
        </r>
      </text>
    </comment>
    <comment ref="E65" authorId="0" shapeId="0" xr:uid="{92AD1D81-80EA-4B10-AEB3-BA42DBB3FB53}">
      <text>
        <r>
          <rPr>
            <b/>
            <sz val="9"/>
            <color indexed="81"/>
            <rFont val="Tahoma"/>
            <family val="2"/>
          </rPr>
          <t>Anvay:</t>
        </r>
        <r>
          <rPr>
            <sz val="9"/>
            <color indexed="81"/>
            <rFont val="Tahoma"/>
            <family val="2"/>
          </rPr>
          <t xml:space="preserve">
From FY27 to FY31, EBITDA margins are expected to recover to 46.5% due to three factors. First, prices will be adjusted after the GST impact, which should improve margins. Second, a higher share of premium products like Twamev (which have higher selling prices) will increase overall profitability. Third, operating leverage will help as fixed costs grow slower than revenue. Since the company achieved a peak margin of 52% in FY23, assuming 46.5% by FY31 is a conservative estimate</t>
        </r>
      </text>
    </comment>
    <comment ref="B67" authorId="0" shapeId="0" xr:uid="{147A17FF-131A-425E-92C9-D5C4E1A33027}">
      <text>
        <r>
          <rPr>
            <b/>
            <sz val="9"/>
            <color indexed="81"/>
            <rFont val="Tahoma"/>
            <family val="2"/>
          </rPr>
          <t>Anvay:</t>
        </r>
        <r>
          <rPr>
            <sz val="9"/>
            <color indexed="81"/>
            <rFont val="Tahoma"/>
            <family val="2"/>
          </rPr>
          <t xml:space="preserve">
Declining % as revenue grows faster than fixed asset base</t>
        </r>
      </text>
    </comment>
    <comment ref="D67" authorId="0" shapeId="0" xr:uid="{EA331A3A-C972-465D-BDDD-661DB06E1CE3}">
      <text>
        <r>
          <rPr>
            <b/>
            <sz val="9"/>
            <color indexed="81"/>
            <rFont val="Tahoma"/>
            <family val="2"/>
          </rPr>
          <t>Anvay:</t>
        </r>
        <r>
          <rPr>
            <sz val="9"/>
            <color indexed="81"/>
            <rFont val="Tahoma"/>
            <family val="2"/>
          </rPr>
          <t xml:space="preserve">
Based on FY25 levels (₹153.06 Cr ÷ ₹1,386.48 Cr). Depreciation is mainly from lease accounting (Ind AS 116). As revenue grows faster and the company follows a franchise model, D&amp;A as a % of revenue gradually declines.</t>
        </r>
      </text>
    </comment>
    <comment ref="B69" authorId="0" shapeId="0" xr:uid="{88C0E0CE-D433-4062-A17F-6FD18FA4B90B}">
      <text>
        <r>
          <rPr>
            <b/>
            <sz val="9"/>
            <color indexed="81"/>
            <rFont val="Tahoma"/>
            <family val="2"/>
          </rPr>
          <t>Anvay:</t>
        </r>
        <r>
          <rPr>
            <sz val="9"/>
            <color indexed="81"/>
            <rFont val="Tahoma"/>
            <family val="2"/>
          </rPr>
          <t xml:space="preserve">
FY25 CapEx was around ₹102 Cr on revenue of ₹1,386 Cr (~8.4%). It’s expected to stay on the higher side over FY26–28, mainly due to investments in new flagship store openings.</t>
        </r>
      </text>
    </comment>
    <comment ref="D69" authorId="0" shapeId="0" xr:uid="{695EB40A-72F2-4F30-8070-714863A8D6BB}">
      <text>
        <r>
          <rPr>
            <b/>
            <sz val="9"/>
            <color indexed="81"/>
            <rFont val="Tahoma"/>
            <family val="2"/>
          </rPr>
          <t>Anvay:</t>
        </r>
        <r>
          <rPr>
            <sz val="9"/>
            <color indexed="81"/>
            <rFont val="Tahoma"/>
            <family val="2"/>
          </rPr>
          <t xml:space="preserve">
FY25 Capex was 8.2% of revenue. FY26 is slightly higher at 8.5% due to larger flagship and premium Twamev stores requiring more investment. Over time, it reduces to 6.0% as the company shifts to a franchise model, where partners fund new stores</t>
        </r>
      </text>
    </comment>
    <comment ref="B71" authorId="0" shapeId="0" xr:uid="{9E994332-90E6-49BE-91A6-FF16DDA6CCE2}">
      <text>
        <r>
          <rPr>
            <b/>
            <sz val="9"/>
            <color indexed="81"/>
            <rFont val="Tahoma"/>
            <family val="2"/>
          </rPr>
          <t>Anvay:</t>
        </r>
        <r>
          <rPr>
            <sz val="9"/>
            <color indexed="81"/>
            <rFont val="Tahoma"/>
            <family val="2"/>
          </rPr>
          <t xml:space="preserve">
Working capital went up in FY25, but management expects it to settle down as inventory management improves, supported by better inventory turns (as mentioned in the concall).</t>
        </r>
      </text>
    </comment>
    <comment ref="D71" authorId="0" shapeId="0" xr:uid="{FFBB2CFD-77A0-47A6-8987-E90AB7EFFB1D}">
      <text>
        <r>
          <rPr>
            <b/>
            <sz val="9"/>
            <color indexed="81"/>
            <rFont val="Tahoma"/>
            <family val="2"/>
          </rPr>
          <t>Anvay:</t>
        </r>
        <r>
          <rPr>
            <sz val="9"/>
            <color indexed="81"/>
            <rFont val="Tahoma"/>
            <family val="2"/>
          </rPr>
          <t xml:space="preserve">
FY25 working capital was 7.5% of revenue. It improves to 5.5% in FY26 due to better inventory management and higher payables. Over time, it falls to 2.5% as the business becomes more franchise-led and gains stronger supplier terms.</t>
        </r>
      </text>
    </comment>
    <comment ref="B73" authorId="0" shapeId="0" xr:uid="{0125591C-294A-4A9F-A1A3-19F6CCFCCD17}">
      <text>
        <r>
          <rPr>
            <b/>
            <sz val="9"/>
            <color indexed="81"/>
            <rFont val="Tahoma"/>
            <family val="2"/>
          </rPr>
          <t>Anvay:</t>
        </r>
        <r>
          <rPr>
            <sz val="9"/>
            <color indexed="81"/>
            <rFont val="Tahoma"/>
            <family val="2"/>
          </rPr>
          <t xml:space="preserve">
  25.2% effective rate. Consistent with FY25 (₹131Cr tax / ₹519.5Cr PBT)</t>
        </r>
      </text>
    </comment>
    <comment ref="C78" authorId="0" shapeId="0" xr:uid="{01333104-509D-411F-B52A-550D8D899DDF}">
      <text>
        <r>
          <rPr>
            <b/>
            <sz val="9"/>
            <color indexed="81"/>
            <rFont val="Tahoma"/>
            <family val="2"/>
          </rPr>
          <t>Anvay:</t>
        </r>
        <r>
          <rPr>
            <sz val="9"/>
            <color indexed="81"/>
            <rFont val="Tahoma"/>
            <family val="2"/>
          </rPr>
          <t xml:space="preserve">
Vedant's current distressed trading multiple is approximately 13x (Market Cap ₹8,506 Cr ÷ LTM EBITDA ₹643 Cr). Its historical peak multiple was 30x+ in FY22–23 when growing at 30–85%. The 22x exit assumption implies partial re-rating from trough (13x) back toward normal and not to peak. Indian consumer brand comps trading at normalised growth: Avenue Supermarts 90x+, Titan 60x+, Page Industries 50x+. Ethnic wear specifically is a niche with fewer listed comps — 22x on a company growing revenue at 11% with 46.5% EBITDA margins exiting in FY31 is conservative.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D21" authorId="0" shapeId="0" xr:uid="{33BDDF87-22A7-434C-A0B7-2934E0D4088C}">
      <text>
        <r>
          <rPr>
            <b/>
            <sz val="9"/>
            <color indexed="81"/>
            <rFont val="Tahoma"/>
            <family val="2"/>
          </rPr>
          <t>Anvay:</t>
        </r>
        <r>
          <rPr>
            <sz val="9"/>
            <color indexed="81"/>
            <rFont val="Tahoma"/>
            <family val="2"/>
          </rPr>
          <t xml:space="preserve">
</t>
        </r>
        <r>
          <rPr>
            <sz val="9"/>
            <color indexed="81"/>
            <rFont val="Tahoma"/>
            <family val="2"/>
          </rPr>
          <t>In this deal, 5% of the equity is set aside for management as an incentive. This is common in private equity deals to align management with value creation. The 5% assumption is conservative, as many deals offer 10–15%. This portion is deducted before calculating the sponsor’s final returns.</t>
        </r>
      </text>
    </comment>
    <comment ref="D36" authorId="0" shapeId="0" xr:uid="{CB86957C-046C-41E8-81E6-F56851A86922}">
      <text>
        <r>
          <rPr>
            <b/>
            <sz val="9"/>
            <color indexed="81"/>
            <rFont val="Tahoma"/>
            <family val="2"/>
          </rPr>
          <t>Anvay:</t>
        </r>
        <r>
          <rPr>
            <sz val="9"/>
            <color indexed="81"/>
            <rFont val="Tahoma"/>
            <family val="2"/>
          </rPr>
          <t xml:space="preserve">
Calculated from investment cash flows: ₹9,068 Cr invested initially, limited returns during the holding period due to debt repayment, and exit proceeds of ₹24,501 Cr in Year 6. This gives a 17.3% IRR, slightly below the typical 20% PE target. Returns can improve if exit multiple or growth is higher, so performance is key.</t>
        </r>
      </text>
    </comment>
    <comment ref="D37" authorId="0" shapeId="0" xr:uid="{40F6B802-18D5-4396-AF22-02C63861096E}">
      <text>
        <r>
          <rPr>
            <b/>
            <sz val="9"/>
            <color indexed="81"/>
            <rFont val="Tahoma"/>
            <family val="2"/>
          </rPr>
          <t>Anvay:</t>
        </r>
        <r>
          <rPr>
            <sz val="9"/>
            <color indexed="81"/>
            <rFont val="Tahoma"/>
            <family val="2"/>
          </rPr>
          <t xml:space="preserve">
Calculated as exit equity (₹24,501 Cr) divided by initial equity (₹9,068 Cr). This means the investor makes 2.7x money in 5 years. It is decent but slightly below the typical 3.0x target. Returns come from EBITDA growth, higher exit multiple, and debt reduction over time.</t>
        </r>
      </text>
    </comment>
  </commentList>
</comments>
</file>

<file path=xl/sharedStrings.xml><?xml version="1.0" encoding="utf-8"?>
<sst xmlns="http://schemas.openxmlformats.org/spreadsheetml/2006/main" count="380" uniqueCount="283">
  <si>
    <t>VEDANT FASHIONS LIMITED (MANYAVAR)</t>
  </si>
  <si>
    <t>BSE: 543463 | NSE: MANYAVAR</t>
  </si>
  <si>
    <t>Leveraged Buyout (LBO) Analysis — Take-Private Scenario</t>
  </si>
  <si>
    <t>Prepared by:</t>
  </si>
  <si>
    <t>Date:</t>
  </si>
  <si>
    <t>March 2026</t>
  </si>
  <si>
    <t>Model Type:</t>
  </si>
  <si>
    <t>Leveraged Buyout (LBO) — Take-Private</t>
  </si>
  <si>
    <t>Industry:</t>
  </si>
  <si>
    <t>Branded Apparel / Indian Ethnic Wear</t>
  </si>
  <si>
    <t>Entry Date (Assumed):</t>
  </si>
  <si>
    <t>FY2026 (April 2026)</t>
  </si>
  <si>
    <t>Hold Period:</t>
  </si>
  <si>
    <t>Projection Period:</t>
  </si>
  <si>
    <t>FY2026E – FY2031E</t>
  </si>
  <si>
    <t>Currency:</t>
  </si>
  <si>
    <t>Indian Rupees (INR Crores)</t>
  </si>
  <si>
    <t>Source:</t>
  </si>
  <si>
    <t>Annual Report FY25 | Q3FY26 Concall | Screener.in</t>
  </si>
  <si>
    <t>DISCLAIMER</t>
  </si>
  <si>
    <t>This model is built for educational &amp; portfolio purposes. Not investment advice.</t>
  </si>
  <si>
    <t>NAVIGATION</t>
  </si>
  <si>
    <t>Sheet</t>
  </si>
  <si>
    <t>Transaction Assumptions &amp; Sources/Uses</t>
  </si>
  <si>
    <t>1. Assumptions</t>
  </si>
  <si>
    <t>Historical Financials &amp; Operating Model</t>
  </si>
  <si>
    <t>2. Financials</t>
  </si>
  <si>
    <t>Debt Schedule &amp; Interest</t>
  </si>
  <si>
    <t>3. Debt Schedule</t>
  </si>
  <si>
    <t>Free Cash Flow &amp; Returns Analysis</t>
  </si>
  <si>
    <t>4. LBO Returns</t>
  </si>
  <si>
    <t>Raw Data Source</t>
  </si>
  <si>
    <t>META (Market Data)</t>
  </si>
  <si>
    <t>Item</t>
  </si>
  <si>
    <t>FY2016</t>
  </si>
  <si>
    <t>FY2017</t>
  </si>
  <si>
    <t>FY2018</t>
  </si>
  <si>
    <t>FY2019</t>
  </si>
  <si>
    <t>FY2020</t>
  </si>
  <si>
    <t>FY2021</t>
  </si>
  <si>
    <t>FY2022</t>
  </si>
  <si>
    <t>FY2023</t>
  </si>
  <si>
    <t>FY2024</t>
  </si>
  <si>
    <t>FY2025</t>
  </si>
  <si>
    <t>Shares Outstanding (Cr)</t>
  </si>
  <si>
    <t>Face Value (INR)</t>
  </si>
  <si>
    <t>Share Price (INR) — Year End</t>
  </si>
  <si>
    <t>NA</t>
  </si>
  <si>
    <t>Market Cap (INR Cr)</t>
  </si>
  <si>
    <t>Current Market Price (Mar 2026)</t>
  </si>
  <si>
    <t>Revenue (Net Sales)</t>
  </si>
  <si>
    <t>Raw Material Cost</t>
  </si>
  <si>
    <t>Change in Inventory</t>
  </si>
  <si>
    <t>Employee Cost</t>
  </si>
  <si>
    <t>Selling &amp; Admin</t>
  </si>
  <si>
    <t>Other Manufacturing Exp</t>
  </si>
  <si>
    <t>Other Expenses</t>
  </si>
  <si>
    <t>Total Expenses</t>
  </si>
  <si>
    <t>EBITDA (Operating Profit)</t>
  </si>
  <si>
    <t>Other Income</t>
  </si>
  <si>
    <t>Depreciation &amp; Amortization</t>
  </si>
  <si>
    <t>Finance Costs (Interest)</t>
  </si>
  <si>
    <t>PBT</t>
  </si>
  <si>
    <t>Tax</t>
  </si>
  <si>
    <t>PAT (Net Profit)</t>
  </si>
  <si>
    <t>Dividends Paid</t>
  </si>
  <si>
    <t>Equity Share Capital</t>
  </si>
  <si>
    <t>Reserves &amp; Surplus</t>
  </si>
  <si>
    <t>Total Equity</t>
  </si>
  <si>
    <t>Borrowings (Total Debt)</t>
  </si>
  <si>
    <t>Other Liabilities</t>
  </si>
  <si>
    <t>Total Liabilities &amp; Equity</t>
  </si>
  <si>
    <t>Net Block (Fixed Assets)</t>
  </si>
  <si>
    <t>CWIP</t>
  </si>
  <si>
    <t>Investments</t>
  </si>
  <si>
    <t>Receivables</t>
  </si>
  <si>
    <t>Inventory</t>
  </si>
  <si>
    <t>Cash &amp; Bank</t>
  </si>
  <si>
    <t>Other Assets</t>
  </si>
  <si>
    <t>Total Assets</t>
  </si>
  <si>
    <t>CFO (Operating Cash Flow)</t>
  </si>
  <si>
    <t>CFI (Investing Cash Flow)</t>
  </si>
  <si>
    <t>CFF (Financing Cash Flow)</t>
  </si>
  <si>
    <t>Net Cash Flow</t>
  </si>
  <si>
    <t>Q2FY24</t>
  </si>
  <si>
    <t>Q3FY24</t>
  </si>
  <si>
    <t>Q4FY24</t>
  </si>
  <si>
    <t>Q1FY25</t>
  </si>
  <si>
    <t>Q2FY25</t>
  </si>
  <si>
    <t>Q3FY25</t>
  </si>
  <si>
    <t>Q4FY25</t>
  </si>
  <si>
    <t>Q1FY26</t>
  </si>
  <si>
    <t>Q2FY26</t>
  </si>
  <si>
    <t>Q3FY26</t>
  </si>
  <si>
    <t>Revenue</t>
  </si>
  <si>
    <t>Expenses</t>
  </si>
  <si>
    <t>EBITDA</t>
  </si>
  <si>
    <t>EBITDA Margin %</t>
  </si>
  <si>
    <t>Depreciation</t>
  </si>
  <si>
    <t>Interest</t>
  </si>
  <si>
    <t>PAT</t>
  </si>
  <si>
    <t>VEDANT FASHIONS LBO — TRANSACTION ASSUMPTIONS &amp; SOURCES/USES</t>
  </si>
  <si>
    <t>LTM Revenue (INR Cr)</t>
  </si>
  <si>
    <t>LTM EBITDA (INR Cr)</t>
  </si>
  <si>
    <t>LTM EBITDA Margin (%)</t>
  </si>
  <si>
    <t>LTM D&amp;A (INR Cr)</t>
  </si>
  <si>
    <t>LTM EBIT (INR Cr)</t>
  </si>
  <si>
    <t>LTM Interest (INR Cr)</t>
  </si>
  <si>
    <t>LTM PBT (INR Cr)</t>
  </si>
  <si>
    <t>LTM Tax Rate (%)</t>
  </si>
  <si>
    <t>LTM PAT (INR Cr)</t>
  </si>
  <si>
    <t>LTM CapEx (INR Cr)</t>
  </si>
  <si>
    <t>LTM Change in NWC (INR Cr)</t>
  </si>
  <si>
    <t>Total Debt FY25 (INR Cr)</t>
  </si>
  <si>
    <t>Cash &amp; Equivalents FY25 (INR Cr)</t>
  </si>
  <si>
    <t>Net Debt FY25 (INR Cr)</t>
  </si>
  <si>
    <t>SECTION B: VALUATION AT ENTRY (TAKE-PRIVATE — APRIL 2026)</t>
  </si>
  <si>
    <t>Current Share Price (INR)</t>
  </si>
  <si>
    <t>Current Market Cap (INR Cr)</t>
  </si>
  <si>
    <t>Acquisition Premium (%)</t>
  </si>
  <si>
    <t>Offer Price per Share (INR)</t>
  </si>
  <si>
    <t>Acquisition Equity Value (INR Cr)</t>
  </si>
  <si>
    <t>(+) Existing Debt Assumed (INR Cr)</t>
  </si>
  <si>
    <t>(-) Cash Acquired (INR Cr)</t>
  </si>
  <si>
    <t>Acquisition Enterprise Value (INR Cr)</t>
  </si>
  <si>
    <t>Entry EV/EBITDA Multiple (x)</t>
  </si>
  <si>
    <t>Transaction Fees % of EV</t>
  </si>
  <si>
    <t>Transaction Fees (INR Cr)</t>
  </si>
  <si>
    <t>Total Uses (INR Cr)</t>
  </si>
  <si>
    <t>SECTION C: CAPITAL STRUCTURE (LEVERAGE ASSUMPTIONS)</t>
  </si>
  <si>
    <t>Tranche</t>
  </si>
  <si>
    <t>Amount (INR Cr)</t>
  </si>
  <si>
    <t>% of EV</t>
  </si>
  <si>
    <t>x EBITDA</t>
  </si>
  <si>
    <t>Interest Rate</t>
  </si>
  <si>
    <t>Tenor (Yrs)</t>
  </si>
  <si>
    <t>Term Loan A (Senior Secured — Fixed ₹1,800 Cr)</t>
  </si>
  <si>
    <t>Term Loan B (Subordinated — Fixed ₹700 Cr)</t>
  </si>
  <si>
    <t>NCD / Mezzanine — Fixed ₹200 Cr</t>
  </si>
  <si>
    <t>Total Debt</t>
  </si>
  <si>
    <t>Sponsor Equity</t>
  </si>
  <si>
    <t>Total Sources</t>
  </si>
  <si>
    <t>SECTION D: OPERATING ASSUMPTIONS (PROJECTION YEARS FY2026E–FY2031E)</t>
  </si>
  <si>
    <t>Operating Driver</t>
  </si>
  <si>
    <t>Driver Type</t>
  </si>
  <si>
    <t>FY2026E</t>
  </si>
  <si>
    <t>FY2027E</t>
  </si>
  <si>
    <t>FY2028E</t>
  </si>
  <si>
    <t>FY2029E</t>
  </si>
  <si>
    <t>FY2030E</t>
  </si>
  <si>
    <t>FY2031E</t>
  </si>
  <si>
    <t>Revenue Growth (%)</t>
  </si>
  <si>
    <t>SSSG + New Stores</t>
  </si>
  <si>
    <t>EBITDA Margin (%)</t>
  </si>
  <si>
    <t>% of Revenue</t>
  </si>
  <si>
    <t>D&amp;A (% of Revenue)</t>
  </si>
  <si>
    <t>CapEx (% of Revenue)</t>
  </si>
  <si>
    <t>Change in NWC (% Rev)</t>
  </si>
  <si>
    <t>Tax Rate (%)</t>
  </si>
  <si>
    <t>Effective Rate</t>
  </si>
  <si>
    <t>SECTION E: EXIT ASSUMPTIONS (FY2031 — END OF HOLD PERIOD)</t>
  </si>
  <si>
    <t>Hold Period (Years)</t>
  </si>
  <si>
    <t>Exit EBITDA Multiple (x)</t>
  </si>
  <si>
    <t>Exit Enterprise Value (INR Cr)</t>
  </si>
  <si>
    <t>Exit Equity Value (INR Cr)</t>
  </si>
  <si>
    <t>VEDANT FASHIONS LBO — HISTORICAL FINANCIALS &amp; OPERATING MODEL PROJECTIONS</t>
  </si>
  <si>
    <t>FY2021A</t>
  </si>
  <si>
    <t>FY2022A</t>
  </si>
  <si>
    <t>FY2023A</t>
  </si>
  <si>
    <t>FY2024A</t>
  </si>
  <si>
    <t>FY2025A</t>
  </si>
  <si>
    <t>PROFIT &amp; LOSS STATEMENT</t>
  </si>
  <si>
    <t xml:space="preserve">   % YoY Growth</t>
  </si>
  <si>
    <t xml:space="preserve">   EBITDA Margin %</t>
  </si>
  <si>
    <t>(-) Depreciation &amp; Amortization</t>
  </si>
  <si>
    <t>EBIT</t>
  </si>
  <si>
    <t>(-) Interest Expense (from Debt Schedule)</t>
  </si>
  <si>
    <t>PBT (Profit Before Tax)</t>
  </si>
  <si>
    <t>(-) Taxes</t>
  </si>
  <si>
    <t xml:space="preserve">   PAT Margin %</t>
  </si>
  <si>
    <t>FREE CASH FLOW BRIDGE (LEVERED FCF)</t>
  </si>
  <si>
    <t>(-) Interest Expense</t>
  </si>
  <si>
    <t>(-) Taxes Paid (Cash)</t>
  </si>
  <si>
    <t>(-) Capital Expenditure (CapEx)</t>
  </si>
  <si>
    <t>(+/-) Change in NWC (increase = use of cash)</t>
  </si>
  <si>
    <t>(-) Mandatory Debt Amortization</t>
  </si>
  <si>
    <t>Levered Free Cash Flow (LFCF)</t>
  </si>
  <si>
    <t>KEY FINANCIAL RATIOS &amp; METRICS</t>
  </si>
  <si>
    <t>Metric</t>
  </si>
  <si>
    <t>PAT Margin %</t>
  </si>
  <si>
    <t>CapEx / Revenue %</t>
  </si>
  <si>
    <t>FCF Conversion (LFCF/EBITDA %)</t>
  </si>
  <si>
    <t>VEDANT FASHIONS LBO — DEBT SCHEDULE &amp; INTEREST WATERFALL</t>
  </si>
  <si>
    <t>(INR Crores)</t>
  </si>
  <si>
    <t>TERM LOAN A (Senior Secured — 50% of EV, 10.5% p.a., 20% Annual Amort)</t>
  </si>
  <si>
    <t>Opening Balance</t>
  </si>
  <si>
    <t>(-) Scheduled Amortization (20% p.a.)</t>
  </si>
  <si>
    <t>Closing Balance</t>
  </si>
  <si>
    <t>Interest Expense TLA (10.5% × Avg Balance)</t>
  </si>
  <si>
    <t>Interest Expense TLB (12.0% × Avg Balance)</t>
  </si>
  <si>
    <t>NCD / MEZZANINE (5% of EV, 14.0% p.a., Bullet Yr 5)</t>
  </si>
  <si>
    <t>Interest Expense NCD (14.0% × Avg Balance)</t>
  </si>
  <si>
    <t>TOTAL DEBT SUMMARY (LINKED TO FINANCIALS &amp; LBO RETURNS)</t>
  </si>
  <si>
    <t>Total Interest Expense (All Tranches)</t>
  </si>
  <si>
    <t>Total Debt Outstanding (Closing)</t>
  </si>
  <si>
    <t>Leverage Ratio (Net Debt / EBITDA)</t>
  </si>
  <si>
    <t>Total Mandatory Amortization (All Tranches)</t>
  </si>
  <si>
    <t>VEDANT FASHIONS LBO — RETURNS ANALYSIS (IRR &amp; MOIC)</t>
  </si>
  <si>
    <t>ENTRY ASSUMPTIONS (RECAP)</t>
  </si>
  <si>
    <t>Entry Year</t>
  </si>
  <si>
    <t>FY2026</t>
  </si>
  <si>
    <t>Exit Year</t>
  </si>
  <si>
    <t>FY2031</t>
  </si>
  <si>
    <t>Entry EV (INR Cr)</t>
  </si>
  <si>
    <t>Sponsor Equity Invested (INR Cr)</t>
  </si>
  <si>
    <t>Entry EBITDA (INR Cr)</t>
  </si>
  <si>
    <t>EXIT VALUATION (FY2031E)</t>
  </si>
  <si>
    <t>Exit Year EBITDA (INR Cr)</t>
  </si>
  <si>
    <t>Exit EV/EBITDA Multiple (x)</t>
  </si>
  <si>
    <t>(-) Net Debt at Exit FY2031 (INR Cr)</t>
  </si>
  <si>
    <t>Management Equity &amp; ESOP Reserve (5%)</t>
  </si>
  <si>
    <t>Net Equity to Sponsor (INR Cr)</t>
  </si>
  <si>
    <t>CASH FLOW TO EQUITY (IRR COMPUTATION)</t>
  </si>
  <si>
    <t>Year</t>
  </si>
  <si>
    <t>Cash Flow (INR Cr)</t>
  </si>
  <si>
    <t>Year 0 (FY2026E — Entry)</t>
  </si>
  <si>
    <t>Year 1 (FY2026E)</t>
  </si>
  <si>
    <t>Year 2 (FY2027E)</t>
  </si>
  <si>
    <t>Year 3 (FY2028E)</t>
  </si>
  <si>
    <t>Year 4 (FY2029E)</t>
  </si>
  <si>
    <t>Year 5 (FY2030E)</t>
  </si>
  <si>
    <t>Year 6 (FY2031E)</t>
  </si>
  <si>
    <t>RETURNS SUMMARY</t>
  </si>
  <si>
    <t>EQUITY IRR (Blended)</t>
  </si>
  <si>
    <t>MOIC (Money on Invested Capital)</t>
  </si>
  <si>
    <t>IRR Benchmark: &lt; 20% = Weak | 20-25% = Acceptable | &gt; 25% = Strong</t>
  </si>
  <si>
    <t>DETAILED RETURNS BRIDGE</t>
  </si>
  <si>
    <t>Entry Equity Invested (INR Cr)</t>
  </si>
  <si>
    <t>Operating Value Creation (EBITDA Growth × Multiple)</t>
  </si>
  <si>
    <t>Debt Paydown Value</t>
  </si>
  <si>
    <t>Gross MOIC</t>
  </si>
  <si>
    <t>Sources</t>
  </si>
  <si>
    <t>Amount</t>
  </si>
  <si>
    <t>xEBITDA</t>
  </si>
  <si>
    <t>% Capital</t>
  </si>
  <si>
    <t>Term Loan  A</t>
  </si>
  <si>
    <t>Term Loan B</t>
  </si>
  <si>
    <t>Total</t>
  </si>
  <si>
    <t>Sponser Equity</t>
  </si>
  <si>
    <t>NCD/Mezzanine</t>
  </si>
  <si>
    <t>Uses</t>
  </si>
  <si>
    <t>Equity Purchase Price</t>
  </si>
  <si>
    <t>Refinance Existing Debt</t>
  </si>
  <si>
    <t>Transaction Fees (2%)</t>
  </si>
  <si>
    <t>(-) Repayment Bullet at Year 7 (repaid at exit in Year 6)</t>
  </si>
  <si>
    <t>Vedant Fashions Ltd</t>
  </si>
  <si>
    <t>(BSE: 543463 | NSE: MANYAVAR)</t>
  </si>
  <si>
    <r>
      <t xml:space="preserve">PROFIT &amp; LOSS (Cr) </t>
    </r>
    <r>
      <rPr>
        <b/>
        <vertAlign val="subscript"/>
        <sz val="12"/>
        <color theme="1"/>
        <rFont val="Calibri"/>
        <family val="2"/>
      </rPr>
      <t>Source: Screener.in</t>
    </r>
  </si>
  <si>
    <r>
      <t xml:space="preserve">BALANCE SHEET (Cr) </t>
    </r>
    <r>
      <rPr>
        <b/>
        <vertAlign val="subscript"/>
        <sz val="11"/>
        <color theme="1"/>
        <rFont val="Calibri"/>
        <family val="2"/>
      </rPr>
      <t>Source: Screener.in</t>
    </r>
  </si>
  <si>
    <r>
      <t xml:space="preserve">CASH FLOW (Cr) </t>
    </r>
    <r>
      <rPr>
        <b/>
        <vertAlign val="subscript"/>
        <sz val="12"/>
        <color theme="1"/>
        <rFont val="Calibri"/>
        <family val="2"/>
      </rPr>
      <t>Source: Screener.in</t>
    </r>
  </si>
  <si>
    <r>
      <t xml:space="preserve">QUARTERLY DATA (Cr) </t>
    </r>
    <r>
      <rPr>
        <b/>
        <vertAlign val="subscript"/>
        <sz val="12"/>
        <color theme="1"/>
        <rFont val="Calibri"/>
        <family val="2"/>
      </rPr>
      <t>Source: Screener.in</t>
    </r>
  </si>
  <si>
    <t>Section A: Latest Financials (FY25 Actuals + 9M FY26)</t>
  </si>
  <si>
    <t>5. Data Sheet</t>
  </si>
  <si>
    <t>INR Crores</t>
  </si>
  <si>
    <t>Anvay Gulave</t>
  </si>
  <si>
    <t>INFORMATION</t>
  </si>
  <si>
    <t>TERM LOAN B (Subordinated — 25% of EV, 12.0% p.a., Bullet Yr 6)</t>
  </si>
  <si>
    <t>(-) Repayment (Bullet at Year 5 = FY2030)</t>
  </si>
  <si>
    <t>6 Years (Exit: FY2031)</t>
  </si>
  <si>
    <t>VEDANT FASHIONS LBO — SENSITIVITY &amp; SCENARIO ANALYSIS</t>
  </si>
  <si>
    <t>Exit Multiple</t>
  </si>
  <si>
    <t>Revenue CAGR</t>
  </si>
  <si>
    <t>MOIC SENSITIVITY TABLE (Exit Multiple × Revenue CAGR)</t>
  </si>
  <si>
    <t>IRR SENSITIVITY TABLE (Exit Multiple × Revenue CAGR)</t>
  </si>
  <si>
    <t>Thesis</t>
  </si>
  <si>
    <r>
      <t xml:space="preserve">• Base case gives </t>
    </r>
    <r>
      <rPr>
        <b/>
        <i/>
        <sz val="10"/>
        <color theme="1" tint="0.34998626667073579"/>
        <rFont val="Calibri"/>
        <family val="2"/>
      </rPr>
      <t>~17% IRR and ~2.7x MOIC</t>
    </r>
    <r>
      <rPr>
        <i/>
        <sz val="10"/>
        <color theme="1" tint="0.34998626667073579"/>
        <rFont val="Calibri"/>
        <family val="2"/>
      </rPr>
      <t xml:space="preserve">, which is </t>
    </r>
    <r>
      <rPr>
        <b/>
        <i/>
        <sz val="10"/>
        <color theme="1" tint="0.34998626667073579"/>
        <rFont val="Calibri"/>
        <family val="2"/>
      </rPr>
      <t>okay but below PE target (20% IRR)</t>
    </r>
    <r>
      <rPr>
        <i/>
        <sz val="10"/>
        <color theme="1" tint="0.34998626667073579"/>
        <rFont val="Calibri"/>
        <family val="2"/>
      </rPr>
      <t>.</t>
    </r>
  </si>
  <si>
    <r>
      <t xml:space="preserve">• To reach target returns, need </t>
    </r>
    <r>
      <rPr>
        <b/>
        <i/>
        <sz val="10"/>
        <color theme="1" tint="0.34998626667073579"/>
        <rFont val="Calibri"/>
        <family val="2"/>
      </rPr>
      <t>higher growth (12–14%) or higher exit multiple (24x+)</t>
    </r>
    <r>
      <rPr>
        <i/>
        <sz val="10"/>
        <color theme="1" tint="0.34998626667073579"/>
        <rFont val="Calibri"/>
        <family val="2"/>
      </rPr>
      <t>.</t>
    </r>
  </si>
  <si>
    <r>
      <t>• IRR depends more on exit multiple</t>
    </r>
    <r>
      <rPr>
        <i/>
        <sz val="10"/>
        <color theme="1" tint="0.34998626667073579"/>
        <rFont val="Calibri"/>
        <family val="2"/>
      </rPr>
      <t xml:space="preserve">, while </t>
    </r>
    <r>
      <rPr>
        <b/>
        <i/>
        <sz val="10"/>
        <color theme="1" tint="0.34998626667073579"/>
        <rFont val="Calibri"/>
        <family val="2"/>
      </rPr>
      <t>MOIC improves with business growth</t>
    </r>
    <r>
      <rPr>
        <i/>
        <sz val="10"/>
        <color theme="1" tint="0.34998626667073579"/>
        <rFont val="Calibri"/>
        <family val="2"/>
      </rPr>
      <t>.</t>
    </r>
  </si>
  <si>
    <r>
      <t xml:space="preserve">• In downside cases, returns fall to </t>
    </r>
    <r>
      <rPr>
        <b/>
        <i/>
        <sz val="10"/>
        <color theme="1" tint="0.34998626667073579"/>
        <rFont val="Calibri"/>
        <family val="2"/>
      </rPr>
      <t>~10–13% IRR and ~2x MOIC</t>
    </r>
    <r>
      <rPr>
        <i/>
        <sz val="10"/>
        <color theme="1" tint="0.34998626667073579"/>
        <rFont val="Calibri"/>
        <family val="2"/>
      </rPr>
      <t>, so risk is there.</t>
    </r>
  </si>
  <si>
    <r>
      <t xml:space="preserve">• In upside cases, returns can go to </t>
    </r>
    <r>
      <rPr>
        <b/>
        <i/>
        <sz val="10"/>
        <color theme="1" tint="0.34998626667073579"/>
        <rFont val="Calibri"/>
        <family val="2"/>
      </rPr>
      <t>20%+ IRR and 3x+ MOIC</t>
    </r>
    <r>
      <rPr>
        <i/>
        <sz val="10"/>
        <color theme="1" tint="0.34998626667073579"/>
        <rFont val="Calibri"/>
        <family val="2"/>
      </rPr>
      <t>, making it a good outcome.</t>
    </r>
  </si>
  <si>
    <t>6. Sensitivity Analysis</t>
  </si>
  <si>
    <t>Returns Sensitivity (IRR &amp; MOIC)</t>
  </si>
  <si>
    <r>
      <t xml:space="preserve">SENSITIVITY INPUT CELLS </t>
    </r>
    <r>
      <rPr>
        <b/>
        <i/>
        <vertAlign val="subscript"/>
        <sz val="10"/>
        <color rgb="FFE8630A"/>
        <rFont val="Calibri"/>
        <family val="2"/>
      </rPr>
      <t>(do not delete this input)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</si>
</sst>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0.00;\(#,##0.00\);\-"/>
    <numFmt numFmtId="165" formatCode="0.0%"/>
    <numFmt numFmtId="166" formatCode="#,##0.0"/>
    <numFmt numFmtId="167" formatCode="0.0\x"/>
    <numFmt numFmtId="168" formatCode="0.00\x"/>
    <numFmt numFmtId="169" formatCode="\₹\ #,##0_);\(\₹\ #,##0\)"/>
    <numFmt numFmtId="170" formatCode="\₹\ #,##0.0;\(\₹\ #,##0.0\)"/>
    <numFmt numFmtId="171" formatCode="0.00&quot;x&quot;"/>
    <numFmt numFmtId="172" formatCode="0&quot;x&quot;"/>
  </numFmts>
  <fonts count="53" x14ac:knownFonts="1">
    <font>
      <sz val="11"/>
      <color theme="1"/>
      <name val="Calibri"/>
      <family val="2"/>
      <charset val="1"/>
    </font>
    <font>
      <sz val="11"/>
      <color theme="1"/>
      <name val="Calibri"/>
      <family val="2"/>
    </font>
    <font>
      <b/>
      <sz val="20"/>
      <color rgb="FFE8630A"/>
      <name val="Calibri"/>
      <family val="2"/>
    </font>
    <font>
      <b/>
      <sz val="10"/>
      <color rgb="FF000000"/>
      <name val="Calibri"/>
      <family val="2"/>
    </font>
    <font>
      <sz val="10"/>
      <color rgb="FF000000"/>
      <name val="Calibri"/>
      <family val="2"/>
    </font>
    <font>
      <b/>
      <sz val="9"/>
      <color rgb="FF595959"/>
      <name val="Calibri"/>
      <family val="2"/>
    </font>
    <font>
      <i/>
      <sz val="9"/>
      <color rgb="FF595959"/>
      <name val="Calibri"/>
      <family val="2"/>
    </font>
    <font>
      <b/>
      <sz val="10"/>
      <color rgb="FFFFFFFF"/>
      <name val="Calibri"/>
      <family val="2"/>
    </font>
    <font>
      <sz val="9"/>
      <color rgb="FF000000"/>
      <name val="Calibri"/>
      <family val="2"/>
    </font>
    <font>
      <b/>
      <sz val="13"/>
      <color rgb="FFE8630A"/>
      <name val="Calibri"/>
      <family val="2"/>
    </font>
    <font>
      <b/>
      <sz val="11"/>
      <color rgb="FFE8630A"/>
      <name val="Calibri"/>
      <family val="2"/>
    </font>
    <font>
      <sz val="10"/>
      <color rgb="FF0000FF"/>
      <name val="Calibri"/>
      <family val="2"/>
    </font>
    <font>
      <b/>
      <sz val="10"/>
      <color rgb="FF0000FF"/>
      <name val="Calibri"/>
      <family val="2"/>
    </font>
    <font>
      <i/>
      <sz val="8"/>
      <color rgb="FF595959"/>
      <name val="Calibri"/>
      <family val="2"/>
    </font>
    <font>
      <b/>
      <sz val="14"/>
      <color rgb="FFE8630A"/>
      <name val="Calibri"/>
      <family val="2"/>
    </font>
    <font>
      <sz val="10"/>
      <color rgb="FF008000"/>
      <name val="Calibri"/>
      <family val="2"/>
    </font>
    <font>
      <b/>
      <sz val="10"/>
      <name val="Calibri"/>
      <family val="2"/>
    </font>
    <font>
      <i/>
      <sz val="9"/>
      <color rgb="FF000000"/>
      <name val="Calibri"/>
      <family val="2"/>
    </font>
    <font>
      <b/>
      <sz val="12"/>
      <color rgb="FF000000"/>
      <name val="Calibri"/>
      <family val="2"/>
    </font>
    <font>
      <sz val="11"/>
      <color theme="1"/>
      <name val="Calibri"/>
      <family val="2"/>
      <charset val="1"/>
    </font>
    <font>
      <b/>
      <sz val="10"/>
      <color theme="1"/>
      <name val="Calibri"/>
      <family val="2"/>
    </font>
    <font>
      <b/>
      <sz val="11"/>
      <color theme="0"/>
      <name val="Calibri"/>
      <family val="2"/>
      <scheme val="minor"/>
    </font>
    <font>
      <b/>
      <u/>
      <sz val="11"/>
      <color theme="1"/>
      <name val="Calibri"/>
      <family val="2"/>
      <scheme val="minor"/>
    </font>
    <font>
      <b/>
      <sz val="11"/>
      <color theme="1"/>
      <name val="Calibri"/>
      <family val="2"/>
      <scheme val="minor"/>
    </font>
    <font>
      <b/>
      <sz val="11"/>
      <color theme="1"/>
      <name val="Calibri"/>
      <family val="2"/>
    </font>
    <font>
      <sz val="11"/>
      <color rgb="FFE8630A"/>
      <name val="Calibri"/>
      <family val="2"/>
      <charset val="1"/>
    </font>
    <font>
      <b/>
      <sz val="14"/>
      <color theme="1"/>
      <name val="Calibri"/>
      <family val="2"/>
    </font>
    <font>
      <sz val="12"/>
      <color theme="1"/>
      <name val="Calibri"/>
      <family val="2"/>
    </font>
    <font>
      <b/>
      <sz val="12"/>
      <color theme="1"/>
      <name val="Calibri"/>
      <family val="2"/>
    </font>
    <font>
      <b/>
      <vertAlign val="subscript"/>
      <sz val="12"/>
      <color theme="1"/>
      <name val="Calibri"/>
      <family val="2"/>
    </font>
    <font>
      <b/>
      <vertAlign val="subscript"/>
      <sz val="11"/>
      <color theme="1"/>
      <name val="Calibri"/>
      <family val="2"/>
    </font>
    <font>
      <sz val="10"/>
      <color theme="1"/>
      <name val="Calibri"/>
      <family val="2"/>
    </font>
    <font>
      <sz val="9"/>
      <color indexed="81"/>
      <name val="Tahoma"/>
      <family val="2"/>
    </font>
    <font>
      <b/>
      <sz val="9"/>
      <color indexed="81"/>
      <name val="Tahoma"/>
      <family val="2"/>
    </font>
    <font>
      <b/>
      <sz val="10"/>
      <color theme="0"/>
      <name val="Calibri"/>
      <family val="2"/>
    </font>
    <font>
      <u/>
      <sz val="11"/>
      <color theme="10"/>
      <name val="Calibri"/>
      <family val="2"/>
      <charset val="1"/>
    </font>
    <font>
      <b/>
      <sz val="14"/>
      <color rgb="FFF5F5F5"/>
      <name val="Calibri"/>
      <family val="2"/>
    </font>
    <font>
      <sz val="11"/>
      <color rgb="FF000000"/>
      <name val="Calibri"/>
      <family val="2"/>
    </font>
    <font>
      <b/>
      <sz val="11"/>
      <color rgb="FF000000"/>
      <name val="Calibri"/>
      <family val="2"/>
    </font>
    <font>
      <sz val="11"/>
      <color theme="1"/>
      <name val="Calibri"/>
      <family val="2"/>
      <scheme val="minor"/>
    </font>
    <font>
      <b/>
      <sz val="10"/>
      <color rgb="FFE8630A"/>
      <name val="Calibri"/>
      <family val="2"/>
    </font>
    <font>
      <b/>
      <sz val="11"/>
      <color rgb="FF0000FF"/>
      <name val="Calibri"/>
      <family val="2"/>
    </font>
    <font>
      <b/>
      <sz val="8"/>
      <color rgb="FFFFFFFF"/>
      <name val="Calibri"/>
      <family val="2"/>
    </font>
    <font>
      <b/>
      <sz val="8"/>
      <color rgb="FFE8630A"/>
      <name val="Calibri"/>
      <family val="2"/>
    </font>
    <font>
      <b/>
      <sz val="8"/>
      <color rgb="FF000000"/>
      <name val="Calibri"/>
      <family val="2"/>
    </font>
    <font>
      <sz val="9"/>
      <color theme="1"/>
      <name val="Calibri"/>
      <family val="2"/>
      <charset val="1"/>
    </font>
    <font>
      <b/>
      <sz val="13.5"/>
      <color theme="1"/>
      <name val="Calibri"/>
      <family val="2"/>
      <charset val="1"/>
    </font>
    <font>
      <i/>
      <sz val="10"/>
      <color theme="1" tint="0.34998626667073579"/>
      <name val="Calibri"/>
      <family val="2"/>
    </font>
    <font>
      <b/>
      <i/>
      <sz val="10"/>
      <color theme="1" tint="0.34998626667073579"/>
      <name val="Calibri"/>
      <family val="2"/>
    </font>
    <font>
      <i/>
      <sz val="11"/>
      <color theme="1" tint="0.34998626667073579"/>
      <name val="Calibri"/>
      <family val="2"/>
    </font>
    <font>
      <sz val="12"/>
      <color rgb="FFFFFFFF"/>
      <name val="Calibri"/>
      <family val="2"/>
    </font>
    <font>
      <i/>
      <sz val="11"/>
      <color rgb="FFD9D9D9"/>
      <name val="Calibri"/>
      <family val="2"/>
    </font>
    <font>
      <b/>
      <i/>
      <vertAlign val="subscript"/>
      <sz val="10"/>
      <color rgb="FFE8630A"/>
      <name val="Calibri"/>
      <family val="2"/>
    </font>
  </fonts>
  <fills count="21">
    <fill>
      <patternFill patternType="none"/>
    </fill>
    <fill>
      <patternFill patternType="gray125"/>
    </fill>
    <fill>
      <patternFill patternType="solid">
        <fgColor rgb="FF1A1A2E"/>
        <bgColor rgb="FF333300"/>
      </patternFill>
    </fill>
    <fill>
      <patternFill patternType="solid">
        <fgColor rgb="FFE8630A"/>
        <bgColor rgb="FFFF9900"/>
      </patternFill>
    </fill>
    <fill>
      <patternFill patternType="solid">
        <fgColor rgb="FFFFF8F0"/>
        <bgColor rgb="FFF5F5F5"/>
      </patternFill>
    </fill>
    <fill>
      <patternFill patternType="solid">
        <fgColor rgb="FFF5F5F5"/>
        <bgColor rgb="FFFFF8F0"/>
      </patternFill>
    </fill>
    <fill>
      <patternFill patternType="solid">
        <fgColor rgb="FFD9D9D9"/>
        <bgColor rgb="FFDCEDC8"/>
      </patternFill>
    </fill>
    <fill>
      <patternFill patternType="solid">
        <fgColor rgb="FFFFFF00"/>
        <bgColor rgb="FFFFFF00"/>
      </patternFill>
    </fill>
    <fill>
      <patternFill patternType="solid">
        <fgColor rgb="FFE8630A"/>
        <bgColor indexed="64"/>
      </patternFill>
    </fill>
    <fill>
      <patternFill patternType="solid">
        <fgColor theme="9" tint="0.39997558519241921"/>
        <bgColor rgb="FF333300"/>
      </patternFill>
    </fill>
    <fill>
      <patternFill patternType="solid">
        <fgColor theme="4" tint="-0.249977111117893"/>
        <bgColor indexed="64"/>
      </patternFill>
    </fill>
    <fill>
      <patternFill patternType="solid">
        <fgColor theme="4" tint="0.79998168889431442"/>
        <bgColor indexed="64"/>
      </patternFill>
    </fill>
    <fill>
      <patternFill patternType="solid">
        <fgColor theme="9" tint="-0.499984740745262"/>
        <bgColor rgb="FF333300"/>
      </patternFill>
    </fill>
    <fill>
      <patternFill patternType="solid">
        <fgColor theme="9" tint="0.79998168889431442"/>
        <bgColor rgb="FFF5F5F5"/>
      </patternFill>
    </fill>
    <fill>
      <patternFill patternType="solid">
        <fgColor theme="9" tint="-0.249977111117893"/>
        <bgColor indexed="64"/>
      </patternFill>
    </fill>
    <fill>
      <patternFill patternType="solid">
        <fgColor rgb="FF1A1A2E"/>
      </patternFill>
    </fill>
    <fill>
      <patternFill patternType="solid">
        <fgColor rgb="FFE8630A"/>
      </patternFill>
    </fill>
    <fill>
      <patternFill patternType="solid">
        <fgColor rgb="FFFFFF00"/>
        <bgColor indexed="64"/>
      </patternFill>
    </fill>
    <fill>
      <patternFill patternType="solid">
        <fgColor rgb="FFD9D9D9"/>
      </patternFill>
    </fill>
    <fill>
      <patternFill patternType="solid">
        <fgColor theme="0"/>
        <bgColor indexed="64"/>
      </patternFill>
    </fill>
    <fill>
      <patternFill patternType="solid">
        <fgColor theme="9" tint="0.39997558519241921"/>
        <bgColor indexed="64"/>
      </patternFill>
    </fill>
  </fills>
  <borders count="14">
    <border>
      <left/>
      <right/>
      <top/>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BFBFBF"/>
      </left>
      <right style="thin">
        <color rgb="FFBFBFBF"/>
      </right>
      <top style="thin">
        <color rgb="FFBFBFBF"/>
      </top>
      <bottom style="thin">
        <color rgb="FFBFBFBF"/>
      </bottom>
      <diagonal/>
    </border>
  </borders>
  <cellStyleXfs count="3">
    <xf numFmtId="0" fontId="0" fillId="0" borderId="0"/>
    <xf numFmtId="9" fontId="19" fillId="0" borderId="0" applyFont="0" applyFill="0" applyBorder="0" applyAlignment="0" applyProtection="0"/>
    <xf numFmtId="0" fontId="35" fillId="0" borderId="0" applyNumberFormat="0" applyFill="0" applyBorder="0" applyAlignment="0" applyProtection="0"/>
  </cellStyleXfs>
  <cellXfs count="153">
    <xf numFmtId="0" fontId="0" fillId="0" borderId="0" xfId="0"/>
    <xf numFmtId="0" fontId="0" fillId="2" borderId="0" xfId="0" applyFill="1" applyProtection="1">
      <protection locked="0"/>
    </xf>
    <xf numFmtId="0" fontId="0" fillId="0" borderId="0" xfId="0" applyProtection="1">
      <protection locked="0"/>
    </xf>
    <xf numFmtId="0" fontId="0" fillId="3" borderId="0" xfId="0" applyFill="1" applyProtection="1">
      <protection locked="0"/>
    </xf>
    <xf numFmtId="0" fontId="0" fillId="2" borderId="0" xfId="0" applyFill="1"/>
    <xf numFmtId="0" fontId="2" fillId="2" borderId="0" xfId="0" applyFont="1" applyFill="1" applyAlignment="1">
      <alignment horizontal="left" vertical="center"/>
    </xf>
    <xf numFmtId="0" fontId="0" fillId="3" borderId="0" xfId="0" applyFill="1"/>
    <xf numFmtId="0" fontId="38" fillId="13" borderId="4" xfId="0" applyFont="1" applyFill="1" applyBorder="1" applyAlignment="1">
      <alignment horizontal="left" vertical="center" indent="1"/>
    </xf>
    <xf numFmtId="0" fontId="38" fillId="13" borderId="7" xfId="0" applyFont="1" applyFill="1" applyBorder="1" applyAlignment="1">
      <alignment horizontal="left" vertical="center" indent="2"/>
    </xf>
    <xf numFmtId="0" fontId="1" fillId="13" borderId="7" xfId="0" applyFont="1" applyFill="1" applyBorder="1"/>
    <xf numFmtId="0" fontId="0" fillId="13" borderId="8" xfId="0" applyFill="1" applyBorder="1"/>
    <xf numFmtId="0" fontId="38" fillId="13" borderId="5" xfId="0" applyFont="1" applyFill="1" applyBorder="1" applyAlignment="1">
      <alignment horizontal="left" vertical="center" indent="1"/>
    </xf>
    <xf numFmtId="0" fontId="37" fillId="13" borderId="0" xfId="0" applyFont="1" applyFill="1" applyAlignment="1">
      <alignment horizontal="left" vertical="center" indent="2"/>
    </xf>
    <xf numFmtId="0" fontId="1" fillId="13" borderId="0" xfId="0" applyFont="1" applyFill="1"/>
    <xf numFmtId="0" fontId="0" fillId="13" borderId="9" xfId="0" applyFill="1" applyBorder="1"/>
    <xf numFmtId="0" fontId="38" fillId="13" borderId="6" xfId="0" applyFont="1" applyFill="1" applyBorder="1" applyAlignment="1">
      <alignment horizontal="left" vertical="center" indent="1"/>
    </xf>
    <xf numFmtId="0" fontId="37" fillId="13" borderId="10" xfId="0" applyFont="1" applyFill="1" applyBorder="1" applyAlignment="1">
      <alignment horizontal="left" vertical="center" indent="2"/>
    </xf>
    <xf numFmtId="0" fontId="1" fillId="13" borderId="10" xfId="0" applyFont="1" applyFill="1" applyBorder="1"/>
    <xf numFmtId="0" fontId="0" fillId="13" borderId="11" xfId="0" applyFill="1" applyBorder="1"/>
    <xf numFmtId="0" fontId="7" fillId="3" borderId="0" xfId="0" applyFont="1" applyFill="1" applyAlignment="1">
      <alignment horizontal="center" vertical="center"/>
    </xf>
    <xf numFmtId="0" fontId="37" fillId="5" borderId="4" xfId="0" applyFont="1" applyFill="1" applyBorder="1" applyAlignment="1">
      <alignment horizontal="left" vertical="center" indent="1"/>
    </xf>
    <xf numFmtId="0" fontId="35" fillId="5" borderId="4" xfId="2" applyFill="1" applyBorder="1" applyAlignment="1" applyProtection="1">
      <alignment horizontal="left" vertical="center" indent="2"/>
    </xf>
    <xf numFmtId="0" fontId="37" fillId="5" borderId="5" xfId="0" applyFont="1" applyFill="1" applyBorder="1" applyAlignment="1">
      <alignment horizontal="left" vertical="center" indent="1"/>
    </xf>
    <xf numFmtId="0" fontId="35" fillId="5" borderId="5" xfId="2" applyFill="1" applyBorder="1" applyAlignment="1" applyProtection="1">
      <alignment horizontal="left" vertical="center" indent="2"/>
    </xf>
    <xf numFmtId="0" fontId="37" fillId="5" borderId="6" xfId="0" applyFont="1" applyFill="1" applyBorder="1" applyAlignment="1">
      <alignment horizontal="left" vertical="center" indent="1"/>
    </xf>
    <xf numFmtId="0" fontId="35" fillId="5" borderId="6" xfId="2" applyFill="1" applyBorder="1" applyAlignment="1" applyProtection="1">
      <alignment horizontal="left" vertical="center" indent="2"/>
    </xf>
    <xf numFmtId="0" fontId="5" fillId="0" borderId="0" xfId="0" applyFont="1" applyAlignment="1">
      <alignment horizontal="left" vertical="center"/>
    </xf>
    <xf numFmtId="0" fontId="6" fillId="0" borderId="0" xfId="0" applyFont="1" applyAlignment="1">
      <alignment horizontal="left" vertical="center" wrapText="1"/>
    </xf>
    <xf numFmtId="0" fontId="25" fillId="8" borderId="0" xfId="0" applyFont="1" applyFill="1" applyProtection="1">
      <protection locked="0"/>
    </xf>
    <xf numFmtId="0" fontId="26" fillId="0" borderId="0" xfId="0" applyFont="1" applyProtection="1">
      <protection locked="0"/>
    </xf>
    <xf numFmtId="0" fontId="28" fillId="9" borderId="0" xfId="0" applyFont="1" applyFill="1" applyAlignment="1" applyProtection="1">
      <alignment horizontal="left" vertical="center"/>
      <protection locked="0"/>
    </xf>
    <xf numFmtId="0" fontId="27" fillId="9" borderId="0" xfId="0" applyFont="1" applyFill="1" applyProtection="1">
      <protection locked="0"/>
    </xf>
    <xf numFmtId="0" fontId="27" fillId="0" borderId="0" xfId="0" applyFont="1" applyProtection="1">
      <protection locked="0"/>
    </xf>
    <xf numFmtId="0" fontId="3" fillId="6" borderId="0" xfId="0" applyFont="1" applyFill="1" applyAlignment="1" applyProtection="1">
      <alignment horizontal="left" vertical="center"/>
      <protection locked="0"/>
    </xf>
    <xf numFmtId="0" fontId="3" fillId="6" borderId="0" xfId="0" applyFont="1" applyFill="1" applyAlignment="1" applyProtection="1">
      <alignment horizontal="right" vertical="center"/>
      <protection locked="0"/>
    </xf>
    <xf numFmtId="0" fontId="4" fillId="0" borderId="0" xfId="0" applyFont="1" applyAlignment="1" applyProtection="1">
      <alignment horizontal="left" vertical="center"/>
      <protection locked="0"/>
    </xf>
    <xf numFmtId="170" fontId="11" fillId="0" borderId="0" xfId="0" applyNumberFormat="1" applyFont="1" applyAlignment="1" applyProtection="1">
      <alignment vertical="center"/>
      <protection locked="0"/>
    </xf>
    <xf numFmtId="170" fontId="11" fillId="0" borderId="0" xfId="0" applyNumberFormat="1" applyFont="1" applyAlignment="1" applyProtection="1">
      <alignment horizontal="right" vertical="center"/>
      <protection locked="0"/>
    </xf>
    <xf numFmtId="4" fontId="11" fillId="0" borderId="0" xfId="0" applyNumberFormat="1" applyFont="1" applyAlignment="1" applyProtection="1">
      <alignment horizontal="right" vertical="center"/>
      <protection locked="0"/>
    </xf>
    <xf numFmtId="164" fontId="0" fillId="0" borderId="0" xfId="0" applyNumberFormat="1" applyProtection="1">
      <protection locked="0"/>
    </xf>
    <xf numFmtId="164" fontId="0" fillId="0" borderId="0" xfId="0" applyNumberFormat="1" applyAlignment="1" applyProtection="1">
      <alignment horizontal="center" vertical="center"/>
      <protection locked="0"/>
    </xf>
    <xf numFmtId="39" fontId="0" fillId="0" borderId="0" xfId="0" applyNumberFormat="1" applyProtection="1">
      <protection locked="0"/>
    </xf>
    <xf numFmtId="0" fontId="0" fillId="0" borderId="0" xfId="0" applyAlignment="1" applyProtection="1">
      <alignment wrapText="1"/>
      <protection locked="0"/>
    </xf>
    <xf numFmtId="0" fontId="3" fillId="4" borderId="0" xfId="0" applyFont="1" applyFill="1" applyAlignment="1" applyProtection="1">
      <alignment horizontal="left" vertical="center"/>
      <protection locked="0"/>
    </xf>
    <xf numFmtId="170" fontId="3" fillId="4" borderId="0" xfId="0" applyNumberFormat="1" applyFont="1" applyFill="1" applyAlignment="1" applyProtection="1">
      <alignment horizontal="right" vertical="center"/>
      <protection locked="0"/>
    </xf>
    <xf numFmtId="0" fontId="24" fillId="9" borderId="0" xfId="0" applyFont="1" applyFill="1" applyAlignment="1" applyProtection="1">
      <alignment horizontal="left" vertical="center"/>
      <protection locked="0"/>
    </xf>
    <xf numFmtId="0" fontId="0" fillId="9" borderId="0" xfId="0" applyFill="1" applyProtection="1">
      <protection locked="0"/>
    </xf>
    <xf numFmtId="170" fontId="12" fillId="4" borderId="0" xfId="0" applyNumberFormat="1" applyFont="1" applyFill="1" applyAlignment="1" applyProtection="1">
      <alignment vertical="center"/>
      <protection locked="0"/>
    </xf>
    <xf numFmtId="164" fontId="3" fillId="4" borderId="0" xfId="0" applyNumberFormat="1" applyFont="1" applyFill="1" applyAlignment="1" applyProtection="1">
      <alignment horizontal="center" vertical="center"/>
      <protection locked="0"/>
    </xf>
    <xf numFmtId="164" fontId="4" fillId="0" borderId="0" xfId="0" applyNumberFormat="1" applyFont="1" applyAlignment="1" applyProtection="1">
      <alignment horizontal="center" vertical="center"/>
      <protection locked="0"/>
    </xf>
    <xf numFmtId="164" fontId="11" fillId="0" borderId="0" xfId="0" applyNumberFormat="1" applyFont="1" applyAlignment="1" applyProtection="1">
      <alignment horizontal="center" vertical="center"/>
      <protection locked="0"/>
    </xf>
    <xf numFmtId="170" fontId="3" fillId="4" borderId="0" xfId="0" applyNumberFormat="1" applyFont="1" applyFill="1" applyAlignment="1">
      <alignment horizontal="right" vertical="center"/>
    </xf>
    <xf numFmtId="170" fontId="20" fillId="4" borderId="0" xfId="0" applyNumberFormat="1" applyFont="1" applyFill="1" applyAlignment="1">
      <alignment horizontal="right" vertical="center"/>
    </xf>
    <xf numFmtId="10" fontId="3" fillId="4" borderId="0" xfId="0" applyNumberFormat="1" applyFont="1" applyFill="1" applyAlignment="1">
      <alignment horizontal="right" vertical="center"/>
    </xf>
    <xf numFmtId="0" fontId="14" fillId="2" borderId="0" xfId="0" applyFont="1" applyFill="1" applyAlignment="1" applyProtection="1">
      <alignment horizontal="left" vertical="center"/>
      <protection locked="0"/>
    </xf>
    <xf numFmtId="0" fontId="13" fillId="0" borderId="0" xfId="0" applyFont="1" applyAlignment="1" applyProtection="1">
      <alignment horizontal="left" vertical="center"/>
      <protection locked="0"/>
    </xf>
    <xf numFmtId="49" fontId="13" fillId="0" borderId="0" xfId="0" applyNumberFormat="1" applyFont="1" applyAlignment="1" applyProtection="1">
      <alignment horizontal="left" vertical="center"/>
      <protection locked="0"/>
    </xf>
    <xf numFmtId="170" fontId="11" fillId="0" borderId="0" xfId="0" applyNumberFormat="1" applyFont="1" applyAlignment="1" applyProtection="1">
      <alignment horizontal="center" vertical="center"/>
      <protection locked="0"/>
    </xf>
    <xf numFmtId="170" fontId="4" fillId="0" borderId="0" xfId="0" applyNumberFormat="1" applyFont="1" applyAlignment="1" applyProtection="1">
      <alignment horizontal="center" vertical="center"/>
      <protection locked="0"/>
    </xf>
    <xf numFmtId="165" fontId="11" fillId="0" borderId="0" xfId="0" applyNumberFormat="1" applyFont="1" applyAlignment="1" applyProtection="1">
      <alignment horizontal="center" vertical="center"/>
      <protection locked="0"/>
    </xf>
    <xf numFmtId="0" fontId="7" fillId="2" borderId="0" xfId="0" applyFont="1" applyFill="1" applyAlignment="1" applyProtection="1">
      <alignment horizontal="left" vertical="center"/>
      <protection locked="0"/>
    </xf>
    <xf numFmtId="0" fontId="16" fillId="6" borderId="0" xfId="0" applyFont="1" applyFill="1" applyAlignment="1" applyProtection="1">
      <alignment horizontal="center" vertical="center"/>
      <protection locked="0"/>
    </xf>
    <xf numFmtId="166" fontId="16" fillId="6" borderId="0" xfId="0" applyNumberFormat="1" applyFont="1" applyFill="1" applyAlignment="1" applyProtection="1">
      <alignment horizontal="center" vertical="center"/>
      <protection locked="0"/>
    </xf>
    <xf numFmtId="165" fontId="16" fillId="6" borderId="0" xfId="0" applyNumberFormat="1" applyFont="1" applyFill="1" applyAlignment="1" applyProtection="1">
      <alignment horizontal="center" vertical="center"/>
      <protection locked="0"/>
    </xf>
    <xf numFmtId="167" fontId="16" fillId="6" borderId="0" xfId="0" applyNumberFormat="1" applyFont="1" applyFill="1" applyAlignment="1" applyProtection="1">
      <alignment horizontal="center" vertical="center"/>
      <protection locked="0"/>
    </xf>
    <xf numFmtId="1" fontId="16" fillId="6" borderId="0" xfId="0" applyNumberFormat="1" applyFont="1" applyFill="1" applyAlignment="1" applyProtection="1">
      <alignment horizontal="center" vertical="center"/>
      <protection locked="0"/>
    </xf>
    <xf numFmtId="0" fontId="31" fillId="0" borderId="0" xfId="0" applyFont="1" applyProtection="1">
      <protection locked="0"/>
    </xf>
    <xf numFmtId="170" fontId="12"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protection locked="0"/>
    </xf>
    <xf numFmtId="1" fontId="11" fillId="0" borderId="0" xfId="0" applyNumberFormat="1" applyFont="1" applyAlignment="1" applyProtection="1">
      <alignment horizontal="center" vertical="center"/>
      <protection locked="0"/>
    </xf>
    <xf numFmtId="0" fontId="16" fillId="4" borderId="0" xfId="0" applyFont="1" applyFill="1" applyAlignment="1" applyProtection="1">
      <alignment horizontal="left" vertical="center"/>
      <protection locked="0"/>
    </xf>
    <xf numFmtId="165" fontId="3" fillId="2" borderId="0" xfId="0" applyNumberFormat="1" applyFont="1" applyFill="1" applyAlignment="1" applyProtection="1">
      <alignment horizontal="center" vertical="center"/>
      <protection locked="0"/>
    </xf>
    <xf numFmtId="167" fontId="3" fillId="2" borderId="0" xfId="0" applyNumberFormat="1" applyFont="1" applyFill="1" applyAlignment="1" applyProtection="1">
      <alignment horizontal="center" vertical="center"/>
      <protection locked="0"/>
    </xf>
    <xf numFmtId="1" fontId="11" fillId="2" borderId="0" xfId="0" applyNumberFormat="1" applyFont="1" applyFill="1" applyAlignment="1" applyProtection="1">
      <alignment horizontal="center" vertical="center"/>
      <protection locked="0"/>
    </xf>
    <xf numFmtId="0" fontId="21" fillId="10" borderId="0" xfId="0" applyFont="1" applyFill="1" applyProtection="1">
      <protection locked="0"/>
    </xf>
    <xf numFmtId="0" fontId="0" fillId="10" borderId="0" xfId="0" applyFill="1" applyProtection="1">
      <protection locked="0"/>
    </xf>
    <xf numFmtId="0" fontId="22" fillId="0" borderId="0" xfId="0" applyFont="1" applyAlignment="1" applyProtection="1">
      <alignment horizontal="right"/>
      <protection locked="0"/>
    </xf>
    <xf numFmtId="0" fontId="23" fillId="11" borderId="1" xfId="0" applyFont="1" applyFill="1" applyBorder="1" applyProtection="1">
      <protection locked="0"/>
    </xf>
    <xf numFmtId="0" fontId="23" fillId="11" borderId="2" xfId="0" applyFont="1" applyFill="1" applyBorder="1" applyProtection="1">
      <protection locked="0"/>
    </xf>
    <xf numFmtId="0" fontId="3" fillId="6" borderId="0" xfId="0" applyFont="1" applyFill="1" applyAlignment="1" applyProtection="1">
      <alignment horizontal="center" vertical="center"/>
      <protection locked="0"/>
    </xf>
    <xf numFmtId="0" fontId="13" fillId="4" borderId="0" xfId="0" applyFont="1" applyFill="1" applyAlignment="1" applyProtection="1">
      <alignment horizontal="center" vertical="center"/>
      <protection locked="0"/>
    </xf>
    <xf numFmtId="165" fontId="12" fillId="7" borderId="0" xfId="0" applyNumberFormat="1" applyFont="1" applyFill="1" applyAlignment="1" applyProtection="1">
      <alignment horizontal="center" vertical="center"/>
      <protection locked="0"/>
    </xf>
    <xf numFmtId="0" fontId="13" fillId="0" borderId="0" xfId="0" applyFont="1" applyAlignment="1" applyProtection="1">
      <alignment horizontal="left" vertical="center" wrapText="1"/>
      <protection locked="0"/>
    </xf>
    <xf numFmtId="170" fontId="31" fillId="0" borderId="0" xfId="0" applyNumberFormat="1" applyFont="1" applyAlignment="1">
      <alignment horizontal="center" vertical="center"/>
    </xf>
    <xf numFmtId="170" fontId="4" fillId="0" borderId="0" xfId="0" applyNumberFormat="1" applyFont="1" applyAlignment="1">
      <alignment horizontal="center" vertical="center"/>
    </xf>
    <xf numFmtId="170" fontId="3" fillId="4" borderId="0" xfId="0" applyNumberFormat="1" applyFont="1" applyFill="1" applyAlignment="1">
      <alignment horizontal="center" vertical="center"/>
    </xf>
    <xf numFmtId="170" fontId="15" fillId="0" borderId="0" xfId="0" applyNumberFormat="1" applyFont="1" applyAlignment="1">
      <alignment horizontal="center" vertical="center"/>
    </xf>
    <xf numFmtId="167" fontId="4" fillId="0" borderId="0" xfId="0" applyNumberFormat="1" applyFont="1" applyAlignment="1">
      <alignment horizontal="center" vertical="center"/>
    </xf>
    <xf numFmtId="169" fontId="23" fillId="11" borderId="2" xfId="0" applyNumberFormat="1" applyFont="1" applyFill="1" applyBorder="1"/>
    <xf numFmtId="9" fontId="23" fillId="11" borderId="3" xfId="0" applyNumberFormat="1" applyFont="1" applyFill="1" applyBorder="1"/>
    <xf numFmtId="165" fontId="20" fillId="0" borderId="0" xfId="0" applyNumberFormat="1" applyFont="1" applyAlignment="1">
      <alignment horizontal="center" vertical="center"/>
    </xf>
    <xf numFmtId="170" fontId="20" fillId="0" borderId="0" xfId="0" applyNumberFormat="1" applyFont="1" applyAlignment="1">
      <alignment horizontal="center" vertical="center"/>
    </xf>
    <xf numFmtId="170" fontId="20" fillId="4" borderId="0" xfId="0" applyNumberFormat="1" applyFont="1" applyFill="1" applyAlignment="1">
      <alignment horizontal="center" vertical="center"/>
    </xf>
    <xf numFmtId="167" fontId="20" fillId="4" borderId="0" xfId="0" applyNumberFormat="1" applyFont="1" applyFill="1" applyAlignment="1">
      <alignment horizontal="center" vertical="center"/>
    </xf>
    <xf numFmtId="167" fontId="31" fillId="0" borderId="0" xfId="0" applyNumberFormat="1" applyFont="1" applyAlignment="1">
      <alignment horizontal="center" vertical="center"/>
    </xf>
    <xf numFmtId="165" fontId="20" fillId="4" borderId="0" xfId="0" applyNumberFormat="1" applyFont="1" applyFill="1" applyAlignment="1">
      <alignment horizontal="center" vertical="center"/>
    </xf>
    <xf numFmtId="165" fontId="31" fillId="0" borderId="0" xfId="0" applyNumberFormat="1" applyFont="1" applyAlignment="1">
      <alignment horizontal="center" vertical="center"/>
    </xf>
    <xf numFmtId="169" fontId="1" fillId="0" borderId="0" xfId="0" applyNumberFormat="1" applyFont="1"/>
    <xf numFmtId="167" fontId="39" fillId="0" borderId="0" xfId="0" applyNumberFormat="1" applyFont="1"/>
    <xf numFmtId="9" fontId="1" fillId="0" borderId="0" xfId="1" applyFont="1" applyProtection="1"/>
    <xf numFmtId="167" fontId="23" fillId="11" borderId="2" xfId="0" applyNumberFormat="1" applyFont="1" applyFill="1" applyBorder="1"/>
    <xf numFmtId="165" fontId="1" fillId="0" borderId="0" xfId="1" applyNumberFormat="1" applyFont="1" applyProtection="1"/>
    <xf numFmtId="170" fontId="20" fillId="7" borderId="0" xfId="0" applyNumberFormat="1" applyFont="1" applyFill="1" applyAlignment="1">
      <alignment horizontal="center" vertical="center"/>
    </xf>
    <xf numFmtId="0" fontId="9" fillId="2" borderId="0" xfId="0" applyFont="1" applyFill="1" applyAlignment="1" applyProtection="1">
      <alignment horizontal="left" vertical="center"/>
      <protection locked="0"/>
    </xf>
    <xf numFmtId="0" fontId="6" fillId="0" borderId="0" xfId="0" applyFont="1" applyAlignment="1" applyProtection="1">
      <alignment horizontal="left" vertical="center"/>
      <protection locked="0"/>
    </xf>
    <xf numFmtId="0" fontId="34" fillId="12" borderId="0" xfId="0" applyFont="1" applyFill="1" applyAlignment="1" applyProtection="1">
      <alignment horizontal="center" vertical="center"/>
      <protection locked="0"/>
    </xf>
    <xf numFmtId="165" fontId="31" fillId="0" borderId="0" xfId="0" applyNumberFormat="1" applyFont="1" applyAlignment="1" applyProtection="1">
      <alignment horizontal="center" vertical="center"/>
      <protection locked="0"/>
    </xf>
    <xf numFmtId="0" fontId="17" fillId="0" borderId="0" xfId="0" applyFont="1" applyAlignment="1" applyProtection="1">
      <alignment horizontal="left" vertical="center"/>
      <protection locked="0"/>
    </xf>
    <xf numFmtId="0" fontId="8" fillId="0" borderId="0" xfId="0" applyFont="1" applyAlignment="1" applyProtection="1">
      <alignment horizontal="left" vertical="center"/>
      <protection locked="0"/>
    </xf>
    <xf numFmtId="170" fontId="34" fillId="2" borderId="0" xfId="0" applyNumberFormat="1" applyFont="1" applyFill="1" applyAlignment="1">
      <alignment horizontal="center" vertical="center"/>
    </xf>
    <xf numFmtId="166" fontId="4" fillId="0" borderId="0" xfId="0" applyNumberFormat="1" applyFont="1" applyAlignment="1" applyProtection="1">
      <alignment horizontal="center" vertical="center"/>
      <protection locked="0"/>
    </xf>
    <xf numFmtId="166" fontId="12" fillId="0" borderId="0" xfId="0" applyNumberFormat="1" applyFont="1" applyAlignment="1" applyProtection="1">
      <alignment horizontal="center" vertical="center"/>
      <protection locked="0"/>
    </xf>
    <xf numFmtId="0" fontId="3" fillId="0" borderId="0" xfId="0" applyFont="1" applyAlignment="1" applyProtection="1">
      <alignment horizontal="left" vertical="center"/>
      <protection locked="0"/>
    </xf>
    <xf numFmtId="0" fontId="10" fillId="2" borderId="0" xfId="0" applyFont="1" applyFill="1" applyAlignment="1" applyProtection="1">
      <alignment horizontal="left" vertical="center"/>
      <protection locked="0"/>
    </xf>
    <xf numFmtId="1" fontId="31" fillId="0" borderId="0" xfId="0" applyNumberFormat="1" applyFont="1" applyAlignment="1">
      <alignment horizontal="center" vertical="center"/>
    </xf>
    <xf numFmtId="167" fontId="20" fillId="0" borderId="0" xfId="0" applyNumberFormat="1" applyFont="1" applyAlignment="1">
      <alignment horizontal="center" vertical="center"/>
    </xf>
    <xf numFmtId="170" fontId="3" fillId="7" borderId="0" xfId="0" applyNumberFormat="1" applyFont="1" applyFill="1" applyAlignment="1">
      <alignment horizontal="center" vertical="center"/>
    </xf>
    <xf numFmtId="170" fontId="31" fillId="4" borderId="0" xfId="0" applyNumberFormat="1" applyFont="1" applyFill="1" applyAlignment="1">
      <alignment horizontal="center" vertical="center"/>
    </xf>
    <xf numFmtId="165" fontId="14" fillId="2" borderId="0" xfId="0" applyNumberFormat="1" applyFont="1" applyFill="1" applyAlignment="1">
      <alignment horizontal="center" vertical="center"/>
    </xf>
    <xf numFmtId="168" fontId="18" fillId="7" borderId="0" xfId="0" applyNumberFormat="1" applyFont="1" applyFill="1" applyAlignment="1">
      <alignment horizontal="center" vertical="center"/>
    </xf>
    <xf numFmtId="168" fontId="31" fillId="0" borderId="0" xfId="0" applyNumberFormat="1" applyFont="1" applyAlignment="1">
      <alignment horizontal="center" vertical="center"/>
    </xf>
    <xf numFmtId="166" fontId="34" fillId="2" borderId="0" xfId="0" applyNumberFormat="1" applyFont="1" applyFill="1" applyAlignment="1">
      <alignment horizontal="center" vertical="center"/>
    </xf>
    <xf numFmtId="165" fontId="20" fillId="7" borderId="0" xfId="0" applyNumberFormat="1" applyFont="1" applyFill="1" applyAlignment="1" applyProtection="1">
      <alignment horizontal="center" vertical="center"/>
      <protection locked="0"/>
    </xf>
    <xf numFmtId="167" fontId="20" fillId="7" borderId="0" xfId="0" applyNumberFormat="1" applyFont="1" applyFill="1" applyAlignment="1" applyProtection="1">
      <alignment horizontal="center" vertical="center"/>
      <protection locked="0"/>
    </xf>
    <xf numFmtId="0" fontId="36" fillId="14" borderId="0" xfId="0" applyFont="1" applyFill="1" applyAlignment="1">
      <alignment horizontal="center"/>
    </xf>
    <xf numFmtId="0" fontId="28" fillId="9" borderId="0" xfId="0" applyFont="1" applyFill="1" applyAlignment="1" applyProtection="1">
      <alignment horizontal="center" vertical="center"/>
      <protection locked="0"/>
    </xf>
    <xf numFmtId="0" fontId="50" fillId="2" borderId="0" xfId="0" applyFont="1" applyFill="1" applyAlignment="1">
      <alignment horizontal="left" vertical="center"/>
    </xf>
    <xf numFmtId="0" fontId="51" fillId="2" borderId="0" xfId="0" applyFont="1" applyFill="1" applyAlignment="1">
      <alignment horizontal="left" vertical="center"/>
    </xf>
    <xf numFmtId="0" fontId="0" fillId="0" borderId="0" xfId="0" applyNumberFormat="1" applyProtection="1">
      <protection locked="0"/>
    </xf>
    <xf numFmtId="0" fontId="9" fillId="15" borderId="0" xfId="0" applyNumberFormat="1" applyFont="1" applyFill="1" applyAlignment="1" applyProtection="1">
      <alignment horizontal="center" vertical="center"/>
      <protection locked="0"/>
    </xf>
    <xf numFmtId="0" fontId="0" fillId="16" borderId="0" xfId="0" applyNumberFormat="1" applyFill="1" applyProtection="1">
      <protection locked="0"/>
    </xf>
    <xf numFmtId="0" fontId="40" fillId="15" borderId="0" xfId="0" applyNumberFormat="1" applyFont="1" applyFill="1" applyAlignment="1" applyProtection="1">
      <alignment horizontal="left" vertical="center"/>
      <protection locked="0"/>
    </xf>
    <xf numFmtId="0" fontId="0" fillId="15" borderId="0" xfId="0" applyNumberFormat="1" applyFill="1" applyProtection="1">
      <protection locked="0"/>
    </xf>
    <xf numFmtId="0" fontId="0" fillId="17" borderId="12" xfId="0" applyNumberFormat="1" applyFill="1" applyBorder="1" applyProtection="1">
      <protection locked="0"/>
    </xf>
    <xf numFmtId="0" fontId="10" fillId="15" borderId="0" xfId="0" applyNumberFormat="1" applyFont="1" applyFill="1" applyAlignment="1" applyProtection="1">
      <alignment horizontal="left" vertical="center" indent="1"/>
      <protection locked="0"/>
    </xf>
    <xf numFmtId="0" fontId="43" fillId="15" borderId="0" xfId="0" applyNumberFormat="1" applyFont="1" applyFill="1" applyAlignment="1" applyProtection="1">
      <alignment horizontal="center" vertical="center"/>
      <protection locked="0"/>
    </xf>
    <xf numFmtId="0" fontId="46" fillId="20" borderId="0" xfId="0" applyNumberFormat="1" applyFont="1" applyFill="1" applyAlignment="1" applyProtection="1">
      <alignment horizontal="left" vertical="center" indent="1"/>
      <protection locked="0"/>
    </xf>
    <xf numFmtId="0" fontId="0" fillId="0" borderId="0" xfId="0" applyNumberFormat="1" applyAlignment="1" applyProtection="1">
      <alignment horizontal="left" vertical="center" indent="1"/>
      <protection locked="0"/>
    </xf>
    <xf numFmtId="0" fontId="47" fillId="0" borderId="0" xfId="0" applyNumberFormat="1" applyFont="1" applyAlignment="1" applyProtection="1">
      <alignment horizontal="left" vertical="center" indent="1"/>
      <protection locked="0"/>
    </xf>
    <xf numFmtId="0" fontId="49" fillId="0" borderId="0" xfId="0" applyNumberFormat="1" applyFont="1" applyProtection="1">
      <protection locked="0"/>
    </xf>
    <xf numFmtId="0" fontId="48" fillId="0" borderId="0" xfId="0" applyNumberFormat="1" applyFont="1" applyAlignment="1" applyProtection="1">
      <alignment horizontal="left" vertical="center" indent="1"/>
      <protection locked="0"/>
    </xf>
    <xf numFmtId="0" fontId="42" fillId="15" borderId="0" xfId="0" applyNumberFormat="1" applyFont="1" applyFill="1" applyAlignment="1" applyProtection="1">
      <alignment horizontal="center" vertical="center"/>
    </xf>
    <xf numFmtId="165" fontId="45" fillId="0" borderId="13" xfId="1" applyNumberFormat="1" applyFont="1" applyBorder="1" applyAlignment="1" applyProtection="1">
      <alignment horizontal="center" vertical="center"/>
    </xf>
    <xf numFmtId="165" fontId="45" fillId="19" borderId="13" xfId="1" applyNumberFormat="1" applyFont="1" applyFill="1" applyBorder="1" applyAlignment="1" applyProtection="1">
      <alignment horizontal="center" vertical="center"/>
    </xf>
    <xf numFmtId="165" fontId="45" fillId="17" borderId="13" xfId="1" applyNumberFormat="1" applyFont="1" applyFill="1" applyBorder="1" applyAlignment="1" applyProtection="1">
      <alignment horizontal="center" vertical="center"/>
    </xf>
    <xf numFmtId="165" fontId="42" fillId="15" borderId="0" xfId="1" applyNumberFormat="1" applyFont="1" applyFill="1" applyAlignment="1" applyProtection="1">
      <alignment horizontal="center" vertical="center"/>
    </xf>
    <xf numFmtId="9" fontId="44" fillId="18" borderId="0" xfId="1" applyFont="1" applyFill="1" applyAlignment="1" applyProtection="1">
      <alignment horizontal="center" vertical="center"/>
      <protection locked="0"/>
    </xf>
    <xf numFmtId="165" fontId="41" fillId="17" borderId="12" xfId="1" applyNumberFormat="1" applyFont="1" applyFill="1" applyBorder="1" applyProtection="1">
      <protection locked="0"/>
    </xf>
    <xf numFmtId="172" fontId="41" fillId="17" borderId="12" xfId="0" applyNumberFormat="1" applyFont="1" applyFill="1" applyBorder="1" applyProtection="1">
      <protection locked="0"/>
    </xf>
    <xf numFmtId="172" fontId="43" fillId="15" borderId="0" xfId="0" applyNumberFormat="1" applyFont="1" applyFill="1" applyAlignment="1" applyProtection="1">
      <alignment horizontal="center" vertical="center"/>
      <protection locked="0"/>
    </xf>
    <xf numFmtId="171" fontId="45" fillId="0" borderId="13" xfId="0" applyNumberFormat="1" applyFont="1" applyBorder="1" applyAlignment="1" applyProtection="1">
      <alignment horizontal="center" vertical="center"/>
    </xf>
    <xf numFmtId="171" fontId="45" fillId="19" borderId="13" xfId="0" applyNumberFormat="1" applyFont="1" applyFill="1" applyBorder="1" applyAlignment="1" applyProtection="1">
      <alignment horizontal="center" vertical="center"/>
    </xf>
    <xf numFmtId="171" fontId="45" fillId="17" borderId="13" xfId="0" applyNumberFormat="1" applyFont="1" applyFill="1" applyBorder="1" applyAlignment="1" applyProtection="1">
      <alignment horizontal="center" vertical="center"/>
    </xf>
  </cellXfs>
  <cellStyles count="3">
    <cellStyle name="Hyperlink" xfId="2" builtinId="8"/>
    <cellStyle name="Normal" xfId="0" builtinId="0"/>
    <cellStyle name="Percent" xfId="1" builtinId="5"/>
  </cellStyles>
  <dxfs count="0"/>
  <tableStyles count="1" defaultTableStyle="TableStyleMedium2" defaultPivotStyle="PivotStyleLight16">
    <tableStyle name="Invisible" pivot="0" table="0" count="0" xr9:uid="{45661ACF-1DFC-4AC2-A436-8004E7EAEE8D}"/>
  </table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9C4"/>
      <rgbColor rgb="FFE8F5E9"/>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F5F5F5"/>
      <rgbColor rgb="FFDCEDC8"/>
      <rgbColor rgb="FFFFF8F0"/>
      <rgbColor rgb="FF99CCFF"/>
      <rgbColor rgb="FFFF99CC"/>
      <rgbColor rgb="FFCC99FF"/>
      <rgbColor rgb="FFFFEBEE"/>
      <rgbColor rgb="FF3366FF"/>
      <rgbColor rgb="FF33CCCC"/>
      <rgbColor rgb="FF99CC00"/>
      <rgbColor rgb="FFFFCC00"/>
      <rgbColor rgb="FFFF9900"/>
      <rgbColor rgb="FFE8630A"/>
      <rgbColor rgb="FF595959"/>
      <rgbColor rgb="FF969696"/>
      <rgbColor rgb="FF003366"/>
      <rgbColor rgb="FF339966"/>
      <rgbColor rgb="FF003300"/>
      <rgbColor rgb="FF333300"/>
      <rgbColor rgb="FF993300"/>
      <rgbColor rgb="FF993366"/>
      <rgbColor rgb="FF333399"/>
      <rgbColor rgb="FF1A1A2E"/>
      <rgbColor rgb="00003366"/>
      <rgbColor rgb="00339966"/>
      <rgbColor rgb="00003300"/>
      <rgbColor rgb="00333300"/>
      <rgbColor rgb="00993300"/>
      <rgbColor rgb="00993366"/>
      <rgbColor rgb="00333399"/>
      <rgbColor rgb="00333333"/>
    </indexedColors>
    <mruColors>
      <color rgb="FF0000FF"/>
      <color rgb="FF00FF00"/>
      <color rgb="FFF5F5F5"/>
      <color rgb="FFE863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363197</xdr:colOff>
      <xdr:row>2</xdr:row>
      <xdr:rowOff>56972</xdr:rowOff>
    </xdr:from>
    <xdr:to>
      <xdr:col>11</xdr:col>
      <xdr:colOff>940038</xdr:colOff>
      <xdr:row>5</xdr:row>
      <xdr:rowOff>139759</xdr:rowOff>
    </xdr:to>
    <xdr:pic>
      <xdr:nvPicPr>
        <xdr:cNvPr id="3" name="Picture 2">
          <a:extLst>
            <a:ext uri="{FF2B5EF4-FFF2-40B4-BE49-F238E27FC236}">
              <a16:creationId xmlns:a16="http://schemas.microsoft.com/office/drawing/2014/main" id="{34EB354D-1DB1-DF46-3299-DB1C152A642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2744" b="24602"/>
        <a:stretch>
          <a:fillRect/>
        </a:stretch>
      </xdr:blipFill>
      <xdr:spPr>
        <a:xfrm>
          <a:off x="10454356" y="427290"/>
          <a:ext cx="1538243" cy="610554"/>
        </a:xfrm>
        <a:prstGeom prst="rect">
          <a:avLst/>
        </a:prstGeom>
      </xdr:spPr>
    </xdr:pic>
    <xdr:clientData/>
  </xdr:twoCellAnchor>
</xdr:wsDr>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33"/>
  <sheetViews>
    <sheetView showGridLines="0" tabSelected="1" zoomScale="92" zoomScaleNormal="92" workbookViewId="0">
      <selection activeCell="F32" sqref="F32"/>
    </sheetView>
  </sheetViews>
  <sheetFormatPr defaultColWidth="8.6640625" defaultRowHeight="14.4" x14ac:dyDescent="0.3"/>
  <cols>
    <col min="1" max="1" width="3" customWidth="1"/>
    <col min="2" max="2" width="40" customWidth="1"/>
    <col min="3" max="3" width="23.5546875" customWidth="1"/>
    <col min="4" max="4" width="12" customWidth="1"/>
    <col min="5" max="5" width="15.77734375" customWidth="1"/>
    <col min="6" max="19" width="12" customWidth="1"/>
  </cols>
  <sheetData>
    <row r="1" spans="1:19" ht="15" customHeight="1" x14ac:dyDescent="0.3">
      <c r="A1" s="4"/>
      <c r="B1" s="4"/>
      <c r="C1" s="4"/>
      <c r="D1" s="4"/>
      <c r="E1" s="4"/>
      <c r="F1" s="4"/>
      <c r="G1" s="4"/>
      <c r="H1" s="4"/>
      <c r="I1" s="4"/>
      <c r="J1" s="4"/>
      <c r="K1" s="4"/>
      <c r="L1" s="4"/>
      <c r="M1" s="4"/>
      <c r="N1" s="4"/>
      <c r="O1" s="4"/>
      <c r="P1" s="4"/>
      <c r="Q1" s="4"/>
      <c r="R1" s="4"/>
      <c r="S1" s="4"/>
    </row>
    <row r="2" spans="1:19" ht="15" customHeight="1" x14ac:dyDescent="0.3">
      <c r="A2" s="4"/>
      <c r="B2" s="4"/>
      <c r="C2" s="4"/>
      <c r="D2" s="4"/>
      <c r="E2" s="4"/>
      <c r="F2" s="4"/>
      <c r="G2" s="4"/>
      <c r="H2" s="4"/>
      <c r="I2" s="4"/>
      <c r="J2" s="4"/>
      <c r="K2" s="4"/>
      <c r="L2" s="4"/>
      <c r="M2" s="4"/>
      <c r="N2" s="4"/>
      <c r="O2" s="4"/>
      <c r="P2" s="4"/>
      <c r="Q2" s="4"/>
      <c r="R2" s="4"/>
      <c r="S2" s="4"/>
    </row>
    <row r="3" spans="1:19" ht="30" customHeight="1" x14ac:dyDescent="0.3">
      <c r="A3" s="4"/>
      <c r="B3" s="5" t="s">
        <v>0</v>
      </c>
      <c r="C3" s="4"/>
      <c r="D3" s="4"/>
      <c r="E3" s="4"/>
      <c r="F3" s="4"/>
      <c r="G3" s="4"/>
      <c r="H3" s="4"/>
      <c r="I3" s="4"/>
      <c r="J3" s="4"/>
      <c r="K3" s="4"/>
      <c r="L3" s="4"/>
      <c r="M3" s="4"/>
      <c r="N3" s="4"/>
      <c r="O3" s="4"/>
      <c r="P3" s="4"/>
      <c r="Q3" s="4"/>
      <c r="R3" s="4"/>
      <c r="S3" s="4"/>
    </row>
    <row r="4" spans="1:19" ht="19.5" customHeight="1" x14ac:dyDescent="0.3">
      <c r="A4" s="4"/>
      <c r="B4" s="126" t="s">
        <v>1</v>
      </c>
      <c r="C4" s="4"/>
      <c r="D4" s="4"/>
      <c r="E4" s="4"/>
      <c r="F4" s="4"/>
      <c r="G4" s="4"/>
      <c r="H4" s="4"/>
      <c r="I4" s="4"/>
      <c r="J4" s="4"/>
      <c r="K4" s="4"/>
      <c r="L4" s="4"/>
      <c r="M4" s="4"/>
      <c r="N4" s="4"/>
      <c r="O4" s="4"/>
      <c r="P4" s="4"/>
      <c r="Q4" s="4"/>
      <c r="R4" s="4"/>
      <c r="S4" s="4"/>
    </row>
    <row r="5" spans="1:19" ht="19.5" customHeight="1" x14ac:dyDescent="0.3">
      <c r="A5" s="4"/>
      <c r="B5" s="127" t="s">
        <v>2</v>
      </c>
      <c r="C5" s="4"/>
      <c r="D5" s="4"/>
      <c r="E5" s="4"/>
      <c r="F5" s="4"/>
      <c r="G5" s="4"/>
      <c r="H5" s="4"/>
      <c r="I5" s="4"/>
      <c r="J5" s="4"/>
      <c r="K5" s="4"/>
      <c r="L5" s="4"/>
      <c r="M5" s="4"/>
      <c r="N5" s="4"/>
      <c r="O5" s="4"/>
      <c r="P5" s="4"/>
      <c r="Q5" s="4"/>
      <c r="R5" s="4"/>
      <c r="S5" s="4"/>
    </row>
    <row r="6" spans="1:19" ht="15" customHeight="1" x14ac:dyDescent="0.3">
      <c r="A6" s="4"/>
      <c r="B6" s="4"/>
      <c r="C6" s="4"/>
      <c r="D6" s="4"/>
      <c r="E6" s="4"/>
      <c r="F6" s="4"/>
      <c r="G6" s="4"/>
      <c r="H6" s="4"/>
      <c r="I6" s="4"/>
      <c r="J6" s="4"/>
      <c r="K6" s="4"/>
      <c r="L6" s="4"/>
      <c r="M6" s="4"/>
      <c r="N6" s="4"/>
      <c r="O6" s="4"/>
      <c r="P6" s="4"/>
      <c r="Q6" s="4"/>
      <c r="R6" s="4"/>
      <c r="S6" s="4"/>
    </row>
    <row r="7" spans="1:19" ht="15" customHeight="1" x14ac:dyDescent="0.3">
      <c r="A7" s="4"/>
      <c r="B7" s="4"/>
      <c r="C7" s="4"/>
      <c r="D7" s="4"/>
      <c r="E7" s="4"/>
      <c r="F7" s="4"/>
      <c r="G7" s="4"/>
      <c r="H7" s="4"/>
      <c r="I7" s="4"/>
      <c r="J7" s="4"/>
      <c r="K7" s="4"/>
      <c r="L7" s="4"/>
      <c r="M7" s="4"/>
      <c r="N7" s="4"/>
      <c r="O7" s="4"/>
      <c r="P7" s="4"/>
      <c r="Q7" s="4"/>
      <c r="R7" s="4"/>
      <c r="S7" s="4"/>
    </row>
    <row r="8" spans="1:19" ht="3.75" customHeight="1" x14ac:dyDescent="0.3">
      <c r="A8" s="6"/>
      <c r="B8" s="6"/>
      <c r="C8" s="6"/>
      <c r="D8" s="6"/>
      <c r="E8" s="6"/>
      <c r="F8" s="6"/>
      <c r="G8" s="6"/>
      <c r="H8" s="6"/>
      <c r="I8" s="6"/>
      <c r="J8" s="6"/>
      <c r="K8" s="6"/>
      <c r="L8" s="6"/>
      <c r="M8" s="6"/>
      <c r="N8" s="6"/>
      <c r="O8" s="6"/>
      <c r="P8" s="6"/>
      <c r="Q8" s="6"/>
      <c r="R8" s="6"/>
      <c r="S8" s="6"/>
    </row>
    <row r="10" spans="1:19" ht="18" x14ac:dyDescent="0.35">
      <c r="B10" s="124" t="s">
        <v>265</v>
      </c>
      <c r="C10" s="124"/>
      <c r="D10" s="124"/>
      <c r="E10" s="124"/>
    </row>
    <row r="11" spans="1:19" ht="6" customHeight="1" x14ac:dyDescent="0.3"/>
    <row r="12" spans="1:19" ht="20.399999999999999" customHeight="1" x14ac:dyDescent="0.3">
      <c r="B12" s="7" t="s">
        <v>3</v>
      </c>
      <c r="C12" s="8" t="s">
        <v>264</v>
      </c>
      <c r="D12" s="9"/>
      <c r="E12" s="10"/>
    </row>
    <row r="13" spans="1:19" ht="20.399999999999999" customHeight="1" x14ac:dyDescent="0.3">
      <c r="B13" s="11" t="s">
        <v>4</v>
      </c>
      <c r="C13" s="12" t="s">
        <v>5</v>
      </c>
      <c r="D13" s="13"/>
      <c r="E13" s="14"/>
    </row>
    <row r="14" spans="1:19" ht="20.399999999999999" customHeight="1" x14ac:dyDescent="0.3">
      <c r="B14" s="11" t="s">
        <v>6</v>
      </c>
      <c r="C14" s="12" t="s">
        <v>7</v>
      </c>
      <c r="D14" s="13"/>
      <c r="E14" s="14"/>
    </row>
    <row r="15" spans="1:19" ht="20.399999999999999" customHeight="1" x14ac:dyDescent="0.3">
      <c r="B15" s="11" t="s">
        <v>8</v>
      </c>
      <c r="C15" s="12" t="s">
        <v>9</v>
      </c>
      <c r="D15" s="13"/>
      <c r="E15" s="14"/>
    </row>
    <row r="16" spans="1:19" ht="20.399999999999999" customHeight="1" x14ac:dyDescent="0.3">
      <c r="B16" s="11" t="s">
        <v>10</v>
      </c>
      <c r="C16" s="12" t="s">
        <v>11</v>
      </c>
      <c r="D16" s="13"/>
      <c r="E16" s="14"/>
    </row>
    <row r="17" spans="2:5" ht="20.399999999999999" customHeight="1" x14ac:dyDescent="0.3">
      <c r="B17" s="11" t="s">
        <v>12</v>
      </c>
      <c r="C17" s="12" t="s">
        <v>268</v>
      </c>
      <c r="D17" s="13"/>
      <c r="E17" s="14"/>
    </row>
    <row r="18" spans="2:5" ht="20.399999999999999" customHeight="1" x14ac:dyDescent="0.3">
      <c r="B18" s="11" t="s">
        <v>13</v>
      </c>
      <c r="C18" s="12" t="s">
        <v>14</v>
      </c>
      <c r="D18" s="13"/>
      <c r="E18" s="14"/>
    </row>
    <row r="19" spans="2:5" ht="20.399999999999999" customHeight="1" x14ac:dyDescent="0.3">
      <c r="B19" s="11" t="s">
        <v>15</v>
      </c>
      <c r="C19" s="12" t="s">
        <v>16</v>
      </c>
      <c r="D19" s="13"/>
      <c r="E19" s="14"/>
    </row>
    <row r="20" spans="2:5" ht="20.399999999999999" customHeight="1" x14ac:dyDescent="0.3">
      <c r="B20" s="15" t="s">
        <v>17</v>
      </c>
      <c r="C20" s="16" t="s">
        <v>18</v>
      </c>
      <c r="D20" s="17"/>
      <c r="E20" s="18"/>
    </row>
    <row r="22" spans="2:5" x14ac:dyDescent="0.3">
      <c r="B22" s="19" t="s">
        <v>21</v>
      </c>
      <c r="C22" s="19" t="s">
        <v>22</v>
      </c>
    </row>
    <row r="23" spans="2:5" ht="24.6" customHeight="1" x14ac:dyDescent="0.3">
      <c r="B23" s="20" t="s">
        <v>23</v>
      </c>
      <c r="C23" s="21" t="s">
        <v>24</v>
      </c>
    </row>
    <row r="24" spans="2:5" ht="24.6" customHeight="1" x14ac:dyDescent="0.3">
      <c r="B24" s="22" t="s">
        <v>25</v>
      </c>
      <c r="C24" s="23" t="s">
        <v>26</v>
      </c>
    </row>
    <row r="25" spans="2:5" ht="24.6" customHeight="1" x14ac:dyDescent="0.3">
      <c r="B25" s="22" t="s">
        <v>27</v>
      </c>
      <c r="C25" s="23" t="s">
        <v>28</v>
      </c>
    </row>
    <row r="26" spans="2:5" ht="24.6" customHeight="1" x14ac:dyDescent="0.3">
      <c r="B26" s="22" t="s">
        <v>29</v>
      </c>
      <c r="C26" s="23" t="s">
        <v>30</v>
      </c>
    </row>
    <row r="27" spans="2:5" ht="24.6" customHeight="1" x14ac:dyDescent="0.3">
      <c r="B27" s="22" t="s">
        <v>31</v>
      </c>
      <c r="C27" s="23" t="s">
        <v>262</v>
      </c>
    </row>
    <row r="28" spans="2:5" ht="24.6" customHeight="1" x14ac:dyDescent="0.3">
      <c r="B28" s="24" t="s">
        <v>281</v>
      </c>
      <c r="C28" s="25" t="s">
        <v>280</v>
      </c>
    </row>
    <row r="29" spans="2:5" ht="15" customHeight="1" x14ac:dyDescent="0.3"/>
    <row r="30" spans="2:5" ht="15" customHeight="1" x14ac:dyDescent="0.3">
      <c r="B30" s="26" t="s">
        <v>19</v>
      </c>
    </row>
    <row r="31" spans="2:5" ht="24" x14ac:dyDescent="0.3">
      <c r="B31" s="27" t="s">
        <v>20</v>
      </c>
    </row>
    <row r="32" spans="2:5" ht="15" customHeight="1" x14ac:dyDescent="0.3"/>
    <row r="33" ht="15" customHeight="1" x14ac:dyDescent="0.3"/>
  </sheetData>
  <sheetProtection algorithmName="SHA-512" hashValue="vYUxXQlxE+hwMUBqL/ItDUxE8wV9uFF/R9Qq0iCKGm/pPLLnIAsF4XL28uoA6YBDGjzzskngMxQiqEoc11WgiQ==" saltValue="pcoxC5PGKDcFNbOy29pcZQ==" spinCount="100000" sheet="1" objects="1" scenarios="1"/>
  <mergeCells count="1">
    <mergeCell ref="B10:E10"/>
  </mergeCells>
  <hyperlinks>
    <hyperlink ref="C23" location="'1. Assumptions'!A1" display="1. Assumptions" xr:uid="{0D9546E5-08C7-47FF-9C90-D3D8C94275B0}"/>
    <hyperlink ref="C24" location="'2. Financials'!A1" display="2. Financials" xr:uid="{3BE2A7C0-9DE6-4988-873D-B4BC1507242D}"/>
    <hyperlink ref="C25" location="'3. Debt Schedule'!A1" display="3. Debt Schedule" xr:uid="{1D3D559D-A79A-4495-A3A4-0372D72BEA4A}"/>
    <hyperlink ref="C26" location="'4. LBO Returns'!A1" display="4. LBO Returns" xr:uid="{7D3C603F-7B1A-437F-8B38-F4C0F3BD1846}"/>
    <hyperlink ref="C27" location="'Data Sheet'!A1" display="5. Data Sheet" xr:uid="{C480F2E6-07A9-4441-90B7-778B0C8F7C2E}"/>
    <hyperlink ref="C28" location="'Sensitivity Analysis'!A1" display="6. Sensitivity Analysis" xr:uid="{6290EE14-74CB-44E1-8F7B-8733DD624167}"/>
  </hyperlinks>
  <pageMargins left="0.75" right="0.75" top="1" bottom="1" header="0.511811023622047" footer="0.511811023622047"/>
  <pageSetup paperSize="9" scale="83" orientation="landscape" horizontalDpi="300" verticalDpi="300" r:id="rId1"/>
  <rowBreaks count="1" manualBreakCount="1">
    <brk id="28" max="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2:W71"/>
  <sheetViews>
    <sheetView showGridLines="0" zoomScale="101" zoomScaleNormal="101" workbookViewId="0">
      <selection activeCell="C24" sqref="C24"/>
    </sheetView>
  </sheetViews>
  <sheetFormatPr defaultColWidth="8.6640625" defaultRowHeight="14.4" customHeight="1" x14ac:dyDescent="0.3"/>
  <cols>
    <col min="1" max="1" width="2.33203125" style="2" customWidth="1"/>
    <col min="2" max="2" width="35" style="2" customWidth="1"/>
    <col min="3" max="12" width="14" style="2" customWidth="1"/>
    <col min="13" max="14" width="8.6640625" style="2"/>
    <col min="15" max="15" width="9.33203125" style="2" bestFit="1" customWidth="1"/>
    <col min="16" max="16384" width="8.6640625" style="2"/>
  </cols>
  <sheetData>
    <row r="2" spans="2:12" x14ac:dyDescent="0.3">
      <c r="B2" s="28"/>
      <c r="C2" s="28"/>
      <c r="D2" s="28"/>
      <c r="E2" s="28"/>
      <c r="F2" s="28"/>
      <c r="G2" s="28"/>
      <c r="H2" s="28"/>
      <c r="I2" s="28"/>
      <c r="J2" s="28"/>
      <c r="K2" s="28"/>
      <c r="L2" s="28"/>
    </row>
    <row r="3" spans="2:12" ht="8.4" customHeight="1" x14ac:dyDescent="0.3"/>
    <row r="4" spans="2:12" ht="18" x14ac:dyDescent="0.35">
      <c r="B4" s="29" t="s">
        <v>255</v>
      </c>
    </row>
    <row r="5" spans="2:12" ht="14.4" customHeight="1" x14ac:dyDescent="0.3">
      <c r="B5" s="2" t="s">
        <v>256</v>
      </c>
    </row>
    <row r="6" spans="2:12" x14ac:dyDescent="0.3"/>
    <row r="7" spans="2:12" ht="14.4" customHeight="1" x14ac:dyDescent="0.3">
      <c r="B7" s="28"/>
      <c r="C7" s="28"/>
      <c r="D7" s="28"/>
      <c r="E7" s="28"/>
      <c r="F7" s="28"/>
      <c r="G7" s="28"/>
      <c r="H7" s="28"/>
      <c r="I7" s="28"/>
      <c r="J7" s="28"/>
      <c r="K7" s="28"/>
      <c r="L7" s="28"/>
    </row>
    <row r="9" spans="2:12" s="32" customFormat="1" ht="17.399999999999999" customHeight="1" x14ac:dyDescent="0.3">
      <c r="B9" s="30" t="s">
        <v>32</v>
      </c>
      <c r="C9" s="31"/>
      <c r="D9" s="31"/>
      <c r="E9" s="31"/>
      <c r="F9" s="31"/>
      <c r="G9" s="31"/>
      <c r="H9" s="31"/>
      <c r="I9" s="31"/>
      <c r="J9" s="31"/>
      <c r="K9" s="31"/>
      <c r="L9" s="31"/>
    </row>
    <row r="10" spans="2:12" ht="14.4" customHeight="1" x14ac:dyDescent="0.3">
      <c r="B10" s="33" t="s">
        <v>33</v>
      </c>
      <c r="C10" s="34" t="s">
        <v>34</v>
      </c>
      <c r="D10" s="34" t="s">
        <v>35</v>
      </c>
      <c r="E10" s="34" t="s">
        <v>36</v>
      </c>
      <c r="F10" s="34" t="s">
        <v>37</v>
      </c>
      <c r="G10" s="34" t="s">
        <v>38</v>
      </c>
      <c r="H10" s="34" t="s">
        <v>39</v>
      </c>
      <c r="I10" s="34" t="s">
        <v>40</v>
      </c>
      <c r="J10" s="34" t="s">
        <v>41</v>
      </c>
      <c r="K10" s="34" t="s">
        <v>42</v>
      </c>
      <c r="L10" s="34" t="s">
        <v>43</v>
      </c>
    </row>
    <row r="11" spans="2:12" ht="14.4" customHeight="1" x14ac:dyDescent="0.3">
      <c r="B11" s="35" t="s">
        <v>44</v>
      </c>
      <c r="C11" s="36">
        <v>1.19</v>
      </c>
      <c r="D11" s="36">
        <v>1.19</v>
      </c>
      <c r="E11" s="36">
        <v>12.51</v>
      </c>
      <c r="F11" s="36">
        <v>12.52</v>
      </c>
      <c r="G11" s="36">
        <v>12.52</v>
      </c>
      <c r="H11" s="36">
        <v>12.39</v>
      </c>
      <c r="I11" s="36">
        <v>24.27</v>
      </c>
      <c r="J11" s="36">
        <v>24.28</v>
      </c>
      <c r="K11" s="36">
        <v>24.29</v>
      </c>
      <c r="L11" s="36">
        <v>24.29</v>
      </c>
    </row>
    <row r="12" spans="2:12" ht="14.4" customHeight="1" x14ac:dyDescent="0.3">
      <c r="B12" s="35" t="s">
        <v>45</v>
      </c>
      <c r="C12" s="36">
        <v>10</v>
      </c>
      <c r="D12" s="36">
        <v>10</v>
      </c>
      <c r="E12" s="36">
        <v>2</v>
      </c>
      <c r="F12" s="36">
        <v>2</v>
      </c>
      <c r="G12" s="36">
        <v>2</v>
      </c>
      <c r="H12" s="36">
        <v>2</v>
      </c>
      <c r="I12" s="36">
        <v>1</v>
      </c>
      <c r="J12" s="36">
        <v>1</v>
      </c>
      <c r="K12" s="36">
        <v>1</v>
      </c>
      <c r="L12" s="36">
        <v>1</v>
      </c>
    </row>
    <row r="13" spans="2:12" ht="14.4" customHeight="1" x14ac:dyDescent="0.3">
      <c r="B13" s="35" t="s">
        <v>46</v>
      </c>
      <c r="C13" s="37" t="s">
        <v>47</v>
      </c>
      <c r="D13" s="37" t="s">
        <v>47</v>
      </c>
      <c r="E13" s="37" t="s">
        <v>47</v>
      </c>
      <c r="F13" s="37" t="s">
        <v>47</v>
      </c>
      <c r="G13" s="37" t="s">
        <v>47</v>
      </c>
      <c r="H13" s="37" t="s">
        <v>47</v>
      </c>
      <c r="I13" s="36">
        <v>966.95</v>
      </c>
      <c r="J13" s="36">
        <v>1139.1500000000001</v>
      </c>
      <c r="K13" s="36">
        <v>926.5</v>
      </c>
      <c r="L13" s="36">
        <v>775.85</v>
      </c>
    </row>
    <row r="14" spans="2:12" ht="14.4" customHeight="1" x14ac:dyDescent="0.3">
      <c r="B14" s="35" t="s">
        <v>48</v>
      </c>
      <c r="C14" s="37" t="s">
        <v>47</v>
      </c>
      <c r="D14" s="37" t="s">
        <v>47</v>
      </c>
      <c r="E14" s="37" t="s">
        <v>47</v>
      </c>
      <c r="F14" s="37" t="s">
        <v>47</v>
      </c>
      <c r="G14" s="37" t="s">
        <v>47</v>
      </c>
      <c r="H14" s="37" t="s">
        <v>47</v>
      </c>
      <c r="I14" s="37" t="s">
        <v>47</v>
      </c>
      <c r="J14" s="37" t="s">
        <v>47</v>
      </c>
      <c r="K14" s="37" t="s">
        <v>47</v>
      </c>
      <c r="L14" s="36">
        <v>8506.49</v>
      </c>
    </row>
    <row r="15" spans="2:12" ht="14.4" customHeight="1" x14ac:dyDescent="0.3">
      <c r="B15" s="35" t="s">
        <v>49</v>
      </c>
      <c r="D15" s="38"/>
      <c r="E15" s="38"/>
      <c r="F15" s="38"/>
      <c r="G15" s="38"/>
      <c r="H15" s="38"/>
      <c r="I15" s="38"/>
      <c r="J15" s="38"/>
      <c r="K15" s="38"/>
      <c r="L15" s="36">
        <v>350.1</v>
      </c>
    </row>
    <row r="17" spans="2:23" s="32" customFormat="1" ht="17.399999999999999" customHeight="1" x14ac:dyDescent="0.3">
      <c r="B17" s="30" t="s">
        <v>257</v>
      </c>
      <c r="C17" s="31"/>
      <c r="D17" s="31"/>
      <c r="E17" s="31"/>
      <c r="F17" s="31"/>
      <c r="G17" s="31"/>
      <c r="H17" s="31"/>
      <c r="I17" s="31"/>
      <c r="J17" s="31"/>
      <c r="K17" s="31"/>
      <c r="L17" s="31"/>
    </row>
    <row r="18" spans="2:23" ht="14.4" customHeight="1" x14ac:dyDescent="0.3">
      <c r="B18" s="33" t="s">
        <v>33</v>
      </c>
      <c r="C18" s="34" t="s">
        <v>34</v>
      </c>
      <c r="D18" s="34" t="s">
        <v>35</v>
      </c>
      <c r="E18" s="34" t="s">
        <v>36</v>
      </c>
      <c r="F18" s="34" t="s">
        <v>37</v>
      </c>
      <c r="G18" s="34" t="s">
        <v>38</v>
      </c>
      <c r="H18" s="34" t="s">
        <v>39</v>
      </c>
      <c r="I18" s="34" t="s">
        <v>40</v>
      </c>
      <c r="J18" s="34" t="s">
        <v>41</v>
      </c>
      <c r="K18" s="34" t="s">
        <v>42</v>
      </c>
      <c r="L18" s="34" t="s">
        <v>43</v>
      </c>
    </row>
    <row r="19" spans="2:23" ht="14.4" customHeight="1" x14ac:dyDescent="0.3">
      <c r="B19" s="35" t="s">
        <v>50</v>
      </c>
      <c r="C19" s="36">
        <v>504.28</v>
      </c>
      <c r="D19" s="36">
        <v>596.37</v>
      </c>
      <c r="E19" s="36">
        <v>759.73</v>
      </c>
      <c r="F19" s="36">
        <v>794.15</v>
      </c>
      <c r="G19" s="36">
        <v>915.17</v>
      </c>
      <c r="H19" s="36">
        <v>542.41</v>
      </c>
      <c r="I19" s="36">
        <v>1008.75</v>
      </c>
      <c r="J19" s="36">
        <v>1325.96</v>
      </c>
      <c r="K19" s="36">
        <v>1367.53</v>
      </c>
      <c r="L19" s="36">
        <v>1386.48</v>
      </c>
    </row>
    <row r="20" spans="2:23" ht="14.4" customHeight="1" x14ac:dyDescent="0.3">
      <c r="B20" s="35" t="s">
        <v>51</v>
      </c>
      <c r="C20" s="36">
        <v>107.72</v>
      </c>
      <c r="D20" s="36">
        <v>144.15</v>
      </c>
      <c r="E20" s="36">
        <v>242.85</v>
      </c>
      <c r="F20" s="36">
        <v>222.97</v>
      </c>
      <c r="G20" s="36">
        <v>261.10000000000002</v>
      </c>
      <c r="H20" s="36">
        <v>126.25</v>
      </c>
      <c r="I20" s="36">
        <v>285.85000000000002</v>
      </c>
      <c r="J20" s="36">
        <v>371.74</v>
      </c>
      <c r="K20" s="36">
        <v>334.92</v>
      </c>
      <c r="L20" s="36">
        <v>413.73</v>
      </c>
      <c r="N20" s="39"/>
    </row>
    <row r="21" spans="2:23" ht="14.4" customHeight="1" x14ac:dyDescent="0.3">
      <c r="B21" s="35" t="s">
        <v>52</v>
      </c>
      <c r="C21" s="40"/>
      <c r="D21" s="36">
        <v>10.5</v>
      </c>
      <c r="E21" s="36">
        <v>-1.92</v>
      </c>
      <c r="F21" s="36">
        <v>0.65</v>
      </c>
      <c r="G21" s="36">
        <v>19.63</v>
      </c>
      <c r="H21" s="36">
        <v>-5.92</v>
      </c>
      <c r="I21" s="36">
        <v>36.89</v>
      </c>
      <c r="J21" s="36">
        <v>40.35</v>
      </c>
      <c r="K21" s="36">
        <v>-28.6</v>
      </c>
      <c r="L21" s="36">
        <v>62.39</v>
      </c>
    </row>
    <row r="22" spans="2:23" ht="14.4" customHeight="1" x14ac:dyDescent="0.3">
      <c r="B22" s="35" t="s">
        <v>53</v>
      </c>
      <c r="C22" s="40"/>
      <c r="D22" s="36">
        <v>84.38</v>
      </c>
      <c r="E22" s="36">
        <v>48.03</v>
      </c>
      <c r="F22" s="36">
        <v>46.11</v>
      </c>
      <c r="G22" s="36">
        <v>50.79</v>
      </c>
      <c r="H22" s="36">
        <v>36.590000000000003</v>
      </c>
      <c r="I22" s="36">
        <v>56.64</v>
      </c>
      <c r="J22" s="36">
        <v>56.38</v>
      </c>
      <c r="K22" s="36">
        <v>57.98</v>
      </c>
      <c r="L22" s="36">
        <v>61</v>
      </c>
    </row>
    <row r="23" spans="2:23" ht="14.4" customHeight="1" x14ac:dyDescent="0.3">
      <c r="B23" s="35" t="s">
        <v>54</v>
      </c>
      <c r="C23" s="40"/>
      <c r="D23" s="36">
        <v>134.04</v>
      </c>
      <c r="E23" s="36">
        <v>76.290000000000006</v>
      </c>
      <c r="F23" s="36">
        <v>163.04</v>
      </c>
      <c r="G23" s="36">
        <v>126.7</v>
      </c>
      <c r="H23" s="36">
        <v>70.33</v>
      </c>
      <c r="I23" s="36">
        <v>107.8</v>
      </c>
      <c r="J23" s="36">
        <v>145.37</v>
      </c>
      <c r="K23" s="36">
        <v>171.94</v>
      </c>
      <c r="L23" s="36">
        <v>192.96</v>
      </c>
      <c r="O23" s="41"/>
    </row>
    <row r="24" spans="2:23" ht="14.4" customHeight="1" x14ac:dyDescent="0.3">
      <c r="B24" s="35" t="s">
        <v>55</v>
      </c>
      <c r="C24" s="40"/>
      <c r="D24" s="36">
        <v>0.02</v>
      </c>
      <c r="E24" s="36">
        <v>0.01</v>
      </c>
      <c r="F24" s="40"/>
      <c r="G24" s="36">
        <v>80.92</v>
      </c>
      <c r="H24" s="36">
        <v>51.79</v>
      </c>
      <c r="I24" s="36">
        <v>96.15</v>
      </c>
      <c r="J24" s="36">
        <v>109.77</v>
      </c>
      <c r="K24" s="36">
        <v>85.84</v>
      </c>
      <c r="L24" s="36">
        <v>104.06</v>
      </c>
      <c r="N24" s="42"/>
      <c r="O24" s="42"/>
      <c r="P24" s="42"/>
      <c r="Q24" s="42"/>
      <c r="R24" s="42"/>
      <c r="S24" s="42"/>
      <c r="T24" s="42"/>
      <c r="U24" s="42"/>
      <c r="V24" s="42"/>
      <c r="W24" s="42"/>
    </row>
    <row r="25" spans="2:23" ht="14.4" customHeight="1" x14ac:dyDescent="0.3">
      <c r="B25" s="35" t="s">
        <v>56</v>
      </c>
      <c r="C25" s="36">
        <v>246.07</v>
      </c>
      <c r="D25" s="36">
        <v>65.459999999999994</v>
      </c>
      <c r="E25" s="36">
        <v>154.86000000000001</v>
      </c>
      <c r="F25" s="36">
        <v>88.06</v>
      </c>
      <c r="G25" s="36">
        <v>16.3</v>
      </c>
      <c r="H25" s="36">
        <v>15.81</v>
      </c>
      <c r="I25" s="36">
        <v>18.059999999999999</v>
      </c>
      <c r="J25" s="36">
        <v>24.21</v>
      </c>
      <c r="K25" s="36">
        <v>28.84</v>
      </c>
      <c r="L25" s="36">
        <v>33.119999999999997</v>
      </c>
      <c r="N25" s="42"/>
      <c r="O25" s="42"/>
      <c r="P25" s="42"/>
      <c r="Q25" s="42"/>
      <c r="R25" s="42"/>
      <c r="S25" s="42"/>
      <c r="T25" s="42"/>
      <c r="U25" s="42"/>
      <c r="V25" s="42"/>
      <c r="W25" s="42"/>
    </row>
    <row r="26" spans="2:23" ht="14.4" customHeight="1" x14ac:dyDescent="0.3">
      <c r="B26" s="43" t="s">
        <v>57</v>
      </c>
      <c r="C26" s="51">
        <f>IFERROR(C20+C21+C22+C23+C24+C25,"")</f>
        <v>353.78999999999996</v>
      </c>
      <c r="D26" s="51">
        <f t="shared" ref="D26:K26" si="0">IFERROR(D20+D21+D22+D23+D24+D25,"")</f>
        <v>438.54999999999995</v>
      </c>
      <c r="E26" s="51">
        <f t="shared" si="0"/>
        <v>520.12000000000012</v>
      </c>
      <c r="F26" s="51">
        <f t="shared" si="0"/>
        <v>520.82999999999993</v>
      </c>
      <c r="G26" s="51">
        <f t="shared" si="0"/>
        <v>555.43999999999994</v>
      </c>
      <c r="H26" s="51">
        <f t="shared" si="0"/>
        <v>294.85000000000002</v>
      </c>
      <c r="I26" s="51">
        <f>IFERROR(I20+I21+I22+I23+I24+I25,"")</f>
        <v>601.39</v>
      </c>
      <c r="J26" s="51">
        <f t="shared" si="0"/>
        <v>747.82</v>
      </c>
      <c r="K26" s="51">
        <f t="shared" si="0"/>
        <v>650.92000000000007</v>
      </c>
      <c r="L26" s="51">
        <f>IFERROR(L20+L21+L22+L23+L24+L25,"")</f>
        <v>867.2600000000001</v>
      </c>
      <c r="N26" s="42"/>
      <c r="O26" s="42"/>
      <c r="P26" s="42"/>
      <c r="Q26" s="42"/>
      <c r="R26" s="42"/>
      <c r="S26" s="42"/>
      <c r="T26" s="42"/>
      <c r="U26" s="42"/>
      <c r="V26" s="42"/>
      <c r="W26" s="42"/>
    </row>
    <row r="27" spans="2:23" ht="14.4" customHeight="1" x14ac:dyDescent="0.3">
      <c r="B27" s="43" t="s">
        <v>58</v>
      </c>
      <c r="C27" s="51">
        <f>C31+C30+C29-C28</f>
        <v>150.49</v>
      </c>
      <c r="D27" s="51">
        <f t="shared" ref="D27:K27" si="1">D31+D30+D29-D28</f>
        <v>173.01999999999998</v>
      </c>
      <c r="E27" s="51">
        <f t="shared" si="1"/>
        <v>233.68</v>
      </c>
      <c r="F27" s="51">
        <f>F31+F30+F29-F28</f>
        <v>273.59000000000003</v>
      </c>
      <c r="G27" s="51">
        <f t="shared" si="1"/>
        <v>398.12</v>
      </c>
      <c r="H27" s="51">
        <f t="shared" si="1"/>
        <v>235.03999999999996</v>
      </c>
      <c r="I27" s="51">
        <f>I31+I30+I29-I28</f>
        <v>480.34000000000003</v>
      </c>
      <c r="J27" s="51">
        <f t="shared" si="1"/>
        <v>657.80000000000007</v>
      </c>
      <c r="K27" s="51">
        <f t="shared" si="1"/>
        <v>658.09</v>
      </c>
      <c r="L27" s="51">
        <f>L31+L30+L29-L28</f>
        <v>642.61</v>
      </c>
      <c r="N27" s="42"/>
      <c r="O27" s="42"/>
      <c r="P27" s="42"/>
      <c r="Q27" s="42"/>
      <c r="R27" s="42"/>
      <c r="S27" s="42"/>
      <c r="T27" s="42"/>
      <c r="U27" s="42"/>
      <c r="V27" s="42"/>
      <c r="W27" s="42"/>
    </row>
    <row r="28" spans="2:23" ht="14.4" customHeight="1" x14ac:dyDescent="0.3">
      <c r="B28" s="35" t="s">
        <v>59</v>
      </c>
      <c r="C28" s="36">
        <v>1.84</v>
      </c>
      <c r="D28" s="36">
        <v>3.4</v>
      </c>
      <c r="E28" s="36">
        <v>10.48</v>
      </c>
      <c r="F28" s="36">
        <v>19.09</v>
      </c>
      <c r="G28" s="36">
        <v>31.95</v>
      </c>
      <c r="H28" s="36">
        <v>57.56</v>
      </c>
      <c r="I28" s="36">
        <v>48.53</v>
      </c>
      <c r="J28" s="36">
        <v>37.04</v>
      </c>
      <c r="K28" s="36">
        <v>69.67</v>
      </c>
      <c r="L28" s="36">
        <v>85.16</v>
      </c>
      <c r="N28" s="42"/>
      <c r="O28" s="42"/>
      <c r="P28" s="42"/>
      <c r="Q28" s="42"/>
      <c r="R28" s="42"/>
      <c r="S28" s="42"/>
      <c r="T28" s="42"/>
      <c r="U28" s="42"/>
      <c r="V28" s="42"/>
      <c r="W28" s="42"/>
    </row>
    <row r="29" spans="2:23" ht="14.4" customHeight="1" x14ac:dyDescent="0.3">
      <c r="B29" s="35" t="s">
        <v>60</v>
      </c>
      <c r="C29" s="36">
        <v>7.33</v>
      </c>
      <c r="D29" s="36">
        <v>7.57</v>
      </c>
      <c r="E29" s="36">
        <v>9.59</v>
      </c>
      <c r="F29" s="36">
        <v>8.4600000000000009</v>
      </c>
      <c r="G29" s="36">
        <v>82.46</v>
      </c>
      <c r="H29" s="36">
        <v>89.05</v>
      </c>
      <c r="I29" s="36">
        <v>88.03</v>
      </c>
      <c r="J29" s="36">
        <v>97.46</v>
      </c>
      <c r="K29" s="36">
        <v>134.85</v>
      </c>
      <c r="L29" s="36">
        <v>153.06</v>
      </c>
      <c r="N29" s="42"/>
      <c r="O29" s="42"/>
      <c r="P29" s="42"/>
      <c r="Q29" s="42"/>
      <c r="R29" s="42"/>
      <c r="S29" s="42"/>
      <c r="T29" s="42"/>
      <c r="U29" s="42"/>
      <c r="V29" s="42"/>
      <c r="W29" s="42"/>
    </row>
    <row r="30" spans="2:23" ht="14.4" customHeight="1" x14ac:dyDescent="0.3">
      <c r="B30" s="35" t="s">
        <v>61</v>
      </c>
      <c r="C30" s="36">
        <v>5.97</v>
      </c>
      <c r="D30" s="36">
        <v>5.0599999999999996</v>
      </c>
      <c r="E30" s="36">
        <v>6.04</v>
      </c>
      <c r="F30" s="36">
        <v>4.3499999999999996</v>
      </c>
      <c r="G30" s="36">
        <v>24.8</v>
      </c>
      <c r="H30" s="36">
        <v>25.07</v>
      </c>
      <c r="I30" s="36">
        <v>27.07</v>
      </c>
      <c r="J30" s="36">
        <v>30.35</v>
      </c>
      <c r="K30" s="36">
        <v>44.5</v>
      </c>
      <c r="L30" s="36">
        <v>55.21</v>
      </c>
      <c r="N30" s="42"/>
      <c r="O30" s="42"/>
      <c r="P30" s="42"/>
      <c r="Q30" s="42"/>
      <c r="R30" s="42"/>
      <c r="S30" s="42"/>
      <c r="T30" s="42"/>
      <c r="U30" s="42"/>
      <c r="V30" s="42"/>
      <c r="W30" s="42"/>
    </row>
    <row r="31" spans="2:23" ht="14.4" customHeight="1" x14ac:dyDescent="0.3">
      <c r="B31" s="35" t="s">
        <v>62</v>
      </c>
      <c r="C31" s="36">
        <v>139.03</v>
      </c>
      <c r="D31" s="36">
        <v>163.79</v>
      </c>
      <c r="E31" s="36">
        <v>228.53</v>
      </c>
      <c r="F31" s="36">
        <v>279.87</v>
      </c>
      <c r="G31" s="36">
        <v>322.81</v>
      </c>
      <c r="H31" s="36">
        <v>178.48</v>
      </c>
      <c r="I31" s="36">
        <v>413.77</v>
      </c>
      <c r="J31" s="36">
        <v>567.03</v>
      </c>
      <c r="K31" s="36">
        <v>548.41</v>
      </c>
      <c r="L31" s="36">
        <v>519.5</v>
      </c>
      <c r="N31" s="42"/>
      <c r="O31" s="42"/>
      <c r="P31" s="42"/>
      <c r="Q31" s="42"/>
      <c r="R31" s="42"/>
      <c r="S31" s="42"/>
      <c r="T31" s="42"/>
      <c r="U31" s="42"/>
      <c r="V31" s="42"/>
      <c r="W31" s="42"/>
    </row>
    <row r="32" spans="2:23" ht="14.4" customHeight="1" x14ac:dyDescent="0.3">
      <c r="B32" s="35" t="s">
        <v>63</v>
      </c>
      <c r="C32" s="36">
        <v>48.87</v>
      </c>
      <c r="D32" s="36">
        <v>57.75</v>
      </c>
      <c r="E32" s="36">
        <v>79.11</v>
      </c>
      <c r="F32" s="36">
        <v>97.59</v>
      </c>
      <c r="G32" s="36">
        <v>77.680000000000007</v>
      </c>
      <c r="H32" s="36">
        <v>47.74</v>
      </c>
      <c r="I32" s="36">
        <v>105.41</v>
      </c>
      <c r="J32" s="36">
        <v>144.13999999999999</v>
      </c>
      <c r="K32" s="36">
        <v>134.22999999999999</v>
      </c>
      <c r="L32" s="36">
        <v>131.03</v>
      </c>
      <c r="N32" s="42"/>
      <c r="O32" s="42"/>
      <c r="P32" s="42"/>
      <c r="Q32" s="42"/>
      <c r="R32" s="42"/>
      <c r="S32" s="42"/>
      <c r="T32" s="42"/>
      <c r="U32" s="42"/>
      <c r="V32" s="42"/>
      <c r="W32" s="42"/>
    </row>
    <row r="33" spans="2:23" ht="14.4" customHeight="1" x14ac:dyDescent="0.3">
      <c r="B33" s="43" t="s">
        <v>64</v>
      </c>
      <c r="C33" s="44">
        <v>90.16</v>
      </c>
      <c r="D33" s="44">
        <v>106.04</v>
      </c>
      <c r="E33" s="44">
        <v>149.41999999999999</v>
      </c>
      <c r="F33" s="44">
        <v>182.27</v>
      </c>
      <c r="G33" s="44">
        <v>245.12</v>
      </c>
      <c r="H33" s="44">
        <v>130.74</v>
      </c>
      <c r="I33" s="44">
        <v>308.35000000000002</v>
      </c>
      <c r="J33" s="44">
        <v>422.89</v>
      </c>
      <c r="K33" s="44">
        <v>414.17</v>
      </c>
      <c r="L33" s="44">
        <v>388.47</v>
      </c>
      <c r="N33" s="42"/>
      <c r="O33" s="42"/>
      <c r="P33" s="42"/>
      <c r="Q33" s="42"/>
      <c r="R33" s="42"/>
      <c r="S33" s="42"/>
      <c r="T33" s="42"/>
      <c r="U33" s="42"/>
      <c r="V33" s="42"/>
      <c r="W33" s="42"/>
    </row>
    <row r="34" spans="2:23" ht="14.4" customHeight="1" x14ac:dyDescent="0.3">
      <c r="B34" s="35" t="s">
        <v>65</v>
      </c>
      <c r="C34" s="36">
        <v>11.86</v>
      </c>
      <c r="D34" s="40"/>
      <c r="E34" s="40"/>
      <c r="F34" s="40"/>
      <c r="G34" s="36">
        <v>50.1</v>
      </c>
      <c r="H34" s="40"/>
      <c r="I34" s="36">
        <v>121.35</v>
      </c>
      <c r="J34" s="36">
        <v>218.52</v>
      </c>
      <c r="K34" s="36">
        <v>206.46</v>
      </c>
      <c r="L34" s="36">
        <v>194.32</v>
      </c>
      <c r="N34" s="42"/>
      <c r="O34" s="42"/>
      <c r="P34" s="42"/>
      <c r="Q34" s="42"/>
      <c r="R34" s="42"/>
      <c r="S34" s="42"/>
      <c r="T34" s="42"/>
      <c r="U34" s="42"/>
      <c r="V34" s="42"/>
      <c r="W34" s="42"/>
    </row>
    <row r="36" spans="2:23" ht="17.399999999999999" customHeight="1" x14ac:dyDescent="0.3">
      <c r="B36" s="45" t="s">
        <v>258</v>
      </c>
      <c r="C36" s="46"/>
      <c r="D36" s="46"/>
      <c r="E36" s="46"/>
      <c r="F36" s="46"/>
      <c r="G36" s="46"/>
      <c r="H36" s="46"/>
      <c r="I36" s="46"/>
      <c r="J36" s="46"/>
      <c r="K36" s="46"/>
      <c r="L36" s="46"/>
    </row>
    <row r="37" spans="2:23" ht="14.4" customHeight="1" x14ac:dyDescent="0.3">
      <c r="B37" s="33" t="s">
        <v>33</v>
      </c>
      <c r="C37" s="34" t="s">
        <v>34</v>
      </c>
      <c r="D37" s="34" t="s">
        <v>35</v>
      </c>
      <c r="E37" s="34" t="s">
        <v>36</v>
      </c>
      <c r="F37" s="34" t="s">
        <v>37</v>
      </c>
      <c r="G37" s="34" t="s">
        <v>38</v>
      </c>
      <c r="H37" s="34" t="s">
        <v>39</v>
      </c>
      <c r="I37" s="34" t="s">
        <v>40</v>
      </c>
      <c r="J37" s="34" t="s">
        <v>41</v>
      </c>
      <c r="K37" s="34" t="s">
        <v>42</v>
      </c>
      <c r="L37" s="34" t="s">
        <v>43</v>
      </c>
    </row>
    <row r="38" spans="2:23" ht="14.4" customHeight="1" x14ac:dyDescent="0.3">
      <c r="B38" s="35" t="s">
        <v>66</v>
      </c>
      <c r="C38" s="36">
        <v>11.86</v>
      </c>
      <c r="D38" s="36">
        <v>11.86</v>
      </c>
      <c r="E38" s="36">
        <v>23.12</v>
      </c>
      <c r="F38" s="36">
        <v>25.05</v>
      </c>
      <c r="G38" s="36">
        <v>25.05</v>
      </c>
      <c r="H38" s="36">
        <v>24.79</v>
      </c>
      <c r="I38" s="36">
        <v>24.27</v>
      </c>
      <c r="J38" s="36">
        <v>24.28</v>
      </c>
      <c r="K38" s="36">
        <v>24.29</v>
      </c>
      <c r="L38" s="36">
        <v>24.29</v>
      </c>
    </row>
    <row r="39" spans="2:23" ht="14.4" customHeight="1" x14ac:dyDescent="0.3">
      <c r="B39" s="35" t="s">
        <v>67</v>
      </c>
      <c r="C39" s="36">
        <v>221.12</v>
      </c>
      <c r="D39" s="36">
        <v>317.41000000000003</v>
      </c>
      <c r="E39" s="36">
        <v>683.4</v>
      </c>
      <c r="F39" s="36">
        <v>865.09</v>
      </c>
      <c r="G39" s="36">
        <v>1051.0999999999999</v>
      </c>
      <c r="H39" s="36">
        <v>1074.57</v>
      </c>
      <c r="I39" s="36">
        <v>1059.8599999999999</v>
      </c>
      <c r="J39" s="36">
        <v>1370.77</v>
      </c>
      <c r="K39" s="36">
        <v>1577.59</v>
      </c>
      <c r="L39" s="36">
        <v>1762.02</v>
      </c>
    </row>
    <row r="40" spans="2:23" ht="14.4" customHeight="1" x14ac:dyDescent="0.3">
      <c r="B40" s="43" t="s">
        <v>68</v>
      </c>
      <c r="C40" s="51">
        <f>IFERROR(C38+C39,"")</f>
        <v>232.98000000000002</v>
      </c>
      <c r="D40" s="51">
        <f t="shared" ref="D40:L40" si="2">IFERROR(D38+D39,"")</f>
        <v>329.27000000000004</v>
      </c>
      <c r="E40" s="51">
        <f t="shared" si="2"/>
        <v>706.52</v>
      </c>
      <c r="F40" s="51">
        <f t="shared" si="2"/>
        <v>890.14</v>
      </c>
      <c r="G40" s="51">
        <f t="shared" si="2"/>
        <v>1076.1499999999999</v>
      </c>
      <c r="H40" s="51">
        <f t="shared" si="2"/>
        <v>1099.3599999999999</v>
      </c>
      <c r="I40" s="51">
        <f t="shared" si="2"/>
        <v>1084.1299999999999</v>
      </c>
      <c r="J40" s="51">
        <f t="shared" si="2"/>
        <v>1395.05</v>
      </c>
      <c r="K40" s="51">
        <f t="shared" si="2"/>
        <v>1601.8799999999999</v>
      </c>
      <c r="L40" s="51">
        <f t="shared" si="2"/>
        <v>1786.31</v>
      </c>
    </row>
    <row r="41" spans="2:23" ht="14.4" customHeight="1" x14ac:dyDescent="0.3">
      <c r="B41" s="43" t="s">
        <v>69</v>
      </c>
      <c r="C41" s="47">
        <v>21.76</v>
      </c>
      <c r="D41" s="47">
        <v>8.57</v>
      </c>
      <c r="E41" s="47">
        <v>12.69</v>
      </c>
      <c r="F41" s="48"/>
      <c r="G41" s="47">
        <v>233.76</v>
      </c>
      <c r="H41" s="47">
        <v>203.66</v>
      </c>
      <c r="I41" s="47">
        <v>262.87</v>
      </c>
      <c r="J41" s="47">
        <v>292.55</v>
      </c>
      <c r="K41" s="47">
        <v>444.42</v>
      </c>
      <c r="L41" s="47">
        <v>482.89</v>
      </c>
    </row>
    <row r="42" spans="2:23" ht="14.4" customHeight="1" x14ac:dyDescent="0.3">
      <c r="B42" s="35" t="s">
        <v>70</v>
      </c>
      <c r="C42" s="36">
        <v>109.35</v>
      </c>
      <c r="D42" s="36">
        <v>153.85</v>
      </c>
      <c r="E42" s="36">
        <v>220.96</v>
      </c>
      <c r="F42" s="36">
        <v>256.88</v>
      </c>
      <c r="G42" s="36">
        <v>280.77</v>
      </c>
      <c r="H42" s="36">
        <v>319.61</v>
      </c>
      <c r="I42" s="36">
        <v>401.96</v>
      </c>
      <c r="J42" s="36">
        <v>473.22</v>
      </c>
      <c r="K42" s="36">
        <v>462.01</v>
      </c>
      <c r="L42" s="36">
        <v>477.38</v>
      </c>
    </row>
    <row r="43" spans="2:23" ht="14.4" customHeight="1" x14ac:dyDescent="0.3">
      <c r="B43" s="43" t="s">
        <v>71</v>
      </c>
      <c r="C43" s="52">
        <f>C40+C41+C42</f>
        <v>364.09000000000003</v>
      </c>
      <c r="D43" s="52">
        <f>D40+D41+D42</f>
        <v>491.69000000000005</v>
      </c>
      <c r="E43" s="52">
        <f t="shared" ref="E43:L43" si="3">E40+E41+E42</f>
        <v>940.17000000000007</v>
      </c>
      <c r="F43" s="52">
        <f t="shared" si="3"/>
        <v>1147.02</v>
      </c>
      <c r="G43" s="52">
        <f t="shared" si="3"/>
        <v>1590.6799999999998</v>
      </c>
      <c r="H43" s="52">
        <f t="shared" si="3"/>
        <v>1622.63</v>
      </c>
      <c r="I43" s="52">
        <f t="shared" si="3"/>
        <v>1748.96</v>
      </c>
      <c r="J43" s="52">
        <f t="shared" si="3"/>
        <v>2160.8199999999997</v>
      </c>
      <c r="K43" s="52">
        <f t="shared" si="3"/>
        <v>2508.31</v>
      </c>
      <c r="L43" s="52">
        <f t="shared" si="3"/>
        <v>2746.58</v>
      </c>
    </row>
    <row r="44" spans="2:23" ht="14.4" customHeight="1" x14ac:dyDescent="0.3">
      <c r="B44" s="35" t="s">
        <v>72</v>
      </c>
      <c r="C44" s="36">
        <v>104.06</v>
      </c>
      <c r="D44" s="36">
        <v>141.47999999999999</v>
      </c>
      <c r="E44" s="36">
        <v>315.97000000000003</v>
      </c>
      <c r="F44" s="36">
        <v>252.29</v>
      </c>
      <c r="G44" s="36">
        <v>482.49</v>
      </c>
      <c r="H44" s="36">
        <v>445.78</v>
      </c>
      <c r="I44" s="36">
        <v>495.08</v>
      </c>
      <c r="J44" s="36">
        <v>517.54</v>
      </c>
      <c r="K44" s="36">
        <v>663.42</v>
      </c>
      <c r="L44" s="36">
        <v>687.89</v>
      </c>
    </row>
    <row r="45" spans="2:23" ht="14.4" customHeight="1" x14ac:dyDescent="0.3">
      <c r="B45" s="35" t="s">
        <v>73</v>
      </c>
      <c r="C45" s="36">
        <v>3.06</v>
      </c>
      <c r="D45" s="36">
        <v>4.66</v>
      </c>
      <c r="E45" s="36">
        <v>0.67</v>
      </c>
      <c r="F45" s="36">
        <v>2.4700000000000002</v>
      </c>
      <c r="G45" s="36">
        <v>0.25</v>
      </c>
      <c r="H45" s="36">
        <v>0.39</v>
      </c>
      <c r="I45" s="36">
        <v>0.1</v>
      </c>
      <c r="J45" s="36">
        <v>2.19</v>
      </c>
      <c r="K45" s="36">
        <v>0.06</v>
      </c>
      <c r="L45" s="36">
        <v>0.06</v>
      </c>
    </row>
    <row r="46" spans="2:23" ht="14.4" customHeight="1" x14ac:dyDescent="0.3">
      <c r="B46" s="35" t="s">
        <v>74</v>
      </c>
      <c r="C46" s="49"/>
      <c r="D46" s="36">
        <v>0.1</v>
      </c>
      <c r="E46" s="36">
        <v>138.31</v>
      </c>
      <c r="F46" s="36">
        <v>194.52</v>
      </c>
      <c r="G46" s="36">
        <v>371.19</v>
      </c>
      <c r="H46" s="36">
        <v>552.86</v>
      </c>
      <c r="I46" s="36">
        <v>523.79</v>
      </c>
      <c r="J46" s="36">
        <v>792.67</v>
      </c>
      <c r="K46" s="36">
        <v>959.22</v>
      </c>
      <c r="L46" s="36">
        <v>1050.92</v>
      </c>
    </row>
    <row r="47" spans="2:23" ht="14.4" customHeight="1" x14ac:dyDescent="0.3">
      <c r="B47" s="35" t="s">
        <v>78</v>
      </c>
      <c r="C47" s="36">
        <v>62.240000000000009</v>
      </c>
      <c r="D47" s="36">
        <v>62.240000000000009</v>
      </c>
      <c r="E47" s="36">
        <v>62.240000000000009</v>
      </c>
      <c r="F47" s="36">
        <v>62.240000000000009</v>
      </c>
      <c r="G47" s="36">
        <v>62.240000000000009</v>
      </c>
      <c r="H47" s="36">
        <v>62.240000000000009</v>
      </c>
      <c r="I47" s="36">
        <v>62.240000000000009</v>
      </c>
      <c r="J47" s="36">
        <v>62.240000000000009</v>
      </c>
      <c r="K47" s="36">
        <v>62.240000000000009</v>
      </c>
      <c r="L47" s="36">
        <v>62.240000000000009</v>
      </c>
    </row>
    <row r="48" spans="2:23" ht="14.4" customHeight="1" x14ac:dyDescent="0.3">
      <c r="B48" s="35" t="s">
        <v>75</v>
      </c>
      <c r="C48" s="36">
        <v>107.19</v>
      </c>
      <c r="D48" s="36">
        <v>188.5</v>
      </c>
      <c r="E48" s="36">
        <v>321.86</v>
      </c>
      <c r="F48" s="36">
        <v>337.37</v>
      </c>
      <c r="G48" s="36">
        <v>391.42</v>
      </c>
      <c r="H48" s="36">
        <v>366.38</v>
      </c>
      <c r="I48" s="36">
        <v>394.8</v>
      </c>
      <c r="J48" s="36">
        <v>472.84</v>
      </c>
      <c r="K48" s="36">
        <v>564.52</v>
      </c>
      <c r="L48" s="36">
        <v>618.61</v>
      </c>
    </row>
    <row r="49" spans="2:12" ht="14.4" customHeight="1" x14ac:dyDescent="0.3">
      <c r="B49" s="35" t="s">
        <v>76</v>
      </c>
      <c r="C49" s="36">
        <v>85.86</v>
      </c>
      <c r="D49" s="36">
        <v>97.37</v>
      </c>
      <c r="E49" s="36">
        <v>87.74</v>
      </c>
      <c r="F49" s="36">
        <v>89.6</v>
      </c>
      <c r="G49" s="36">
        <v>114.63</v>
      </c>
      <c r="H49" s="36">
        <v>99.6</v>
      </c>
      <c r="I49" s="36">
        <v>141.5</v>
      </c>
      <c r="J49" s="36">
        <v>173.23</v>
      </c>
      <c r="K49" s="36">
        <v>138.63</v>
      </c>
      <c r="L49" s="36">
        <v>201.97</v>
      </c>
    </row>
    <row r="50" spans="2:12" ht="14.4" customHeight="1" x14ac:dyDescent="0.3">
      <c r="B50" s="35" t="s">
        <v>77</v>
      </c>
      <c r="C50" s="36">
        <v>1.68</v>
      </c>
      <c r="D50" s="36">
        <v>1.18</v>
      </c>
      <c r="E50" s="36">
        <v>4.71</v>
      </c>
      <c r="F50" s="36">
        <v>118.94</v>
      </c>
      <c r="G50" s="36">
        <v>69.36</v>
      </c>
      <c r="H50" s="36">
        <v>6.94</v>
      </c>
      <c r="I50" s="36">
        <v>3.33</v>
      </c>
      <c r="J50" s="36">
        <v>8.17</v>
      </c>
      <c r="K50" s="36">
        <v>21.71</v>
      </c>
      <c r="L50" s="36">
        <v>17.23</v>
      </c>
    </row>
    <row r="51" spans="2:12" ht="14.4" customHeight="1" x14ac:dyDescent="0.3">
      <c r="B51" s="43" t="s">
        <v>79</v>
      </c>
      <c r="C51" s="47">
        <v>364.09</v>
      </c>
      <c r="D51" s="47">
        <v>491.69</v>
      </c>
      <c r="E51" s="47">
        <v>940.17</v>
      </c>
      <c r="F51" s="47">
        <v>1147.02</v>
      </c>
      <c r="G51" s="47">
        <v>1590.68</v>
      </c>
      <c r="H51" s="47">
        <v>1622.63</v>
      </c>
      <c r="I51" s="47">
        <v>1748.96</v>
      </c>
      <c r="J51" s="47">
        <v>2160.8200000000002</v>
      </c>
      <c r="K51" s="47">
        <v>2508.31</v>
      </c>
      <c r="L51" s="47">
        <v>2746.58</v>
      </c>
    </row>
    <row r="52" spans="2:12" ht="14.4" customHeight="1" x14ac:dyDescent="0.3">
      <c r="L52" s="41"/>
    </row>
    <row r="53" spans="2:12" s="32" customFormat="1" ht="17.399999999999999" customHeight="1" x14ac:dyDescent="0.3">
      <c r="B53" s="30" t="s">
        <v>259</v>
      </c>
      <c r="C53" s="31"/>
      <c r="D53" s="31"/>
      <c r="E53" s="31"/>
      <c r="F53" s="31"/>
      <c r="G53" s="31"/>
      <c r="H53" s="31"/>
      <c r="I53" s="31"/>
      <c r="J53" s="31"/>
      <c r="K53" s="31"/>
      <c r="L53" s="31"/>
    </row>
    <row r="54" spans="2:12" ht="14.4" customHeight="1" x14ac:dyDescent="0.3">
      <c r="B54" s="33" t="s">
        <v>33</v>
      </c>
      <c r="C54" s="34" t="s">
        <v>34</v>
      </c>
      <c r="D54" s="34" t="s">
        <v>35</v>
      </c>
      <c r="E54" s="34" t="s">
        <v>36</v>
      </c>
      <c r="F54" s="34" t="s">
        <v>37</v>
      </c>
      <c r="G54" s="34" t="s">
        <v>38</v>
      </c>
      <c r="H54" s="34" t="s">
        <v>39</v>
      </c>
      <c r="I54" s="34" t="s">
        <v>40</v>
      </c>
      <c r="J54" s="34" t="s">
        <v>41</v>
      </c>
      <c r="K54" s="34" t="s">
        <v>42</v>
      </c>
      <c r="L54" s="34" t="s">
        <v>43</v>
      </c>
    </row>
    <row r="55" spans="2:12" ht="14.4" customHeight="1" x14ac:dyDescent="0.3">
      <c r="B55" s="35" t="s">
        <v>80</v>
      </c>
      <c r="C55" s="50"/>
      <c r="D55" s="36">
        <v>36.869999999999997</v>
      </c>
      <c r="E55" s="36">
        <v>51.76</v>
      </c>
      <c r="F55" s="36">
        <v>178.68</v>
      </c>
      <c r="G55" s="36">
        <v>250.63</v>
      </c>
      <c r="H55" s="36">
        <v>252.7</v>
      </c>
      <c r="I55" s="36">
        <v>341.07</v>
      </c>
      <c r="J55" s="36">
        <v>459.12</v>
      </c>
      <c r="K55" s="36">
        <v>483.08</v>
      </c>
      <c r="L55" s="36">
        <v>388.6</v>
      </c>
    </row>
    <row r="56" spans="2:12" ht="14.4" customHeight="1" x14ac:dyDescent="0.3">
      <c r="B56" s="35" t="s">
        <v>81</v>
      </c>
      <c r="C56" s="50"/>
      <c r="D56" s="36">
        <v>-21.53</v>
      </c>
      <c r="E56" s="36">
        <v>-279.02999999999997</v>
      </c>
      <c r="F56" s="36">
        <v>-165.01</v>
      </c>
      <c r="G56" s="36">
        <v>-105.9</v>
      </c>
      <c r="H56" s="36">
        <v>-90.02</v>
      </c>
      <c r="I56" s="36">
        <v>62.01</v>
      </c>
      <c r="J56" s="36">
        <v>-227.89</v>
      </c>
      <c r="K56" s="36">
        <v>-109.52</v>
      </c>
      <c r="L56" s="36">
        <v>-15.88</v>
      </c>
    </row>
    <row r="57" spans="2:12" ht="14.4" customHeight="1" x14ac:dyDescent="0.3">
      <c r="B57" s="35" t="s">
        <v>82</v>
      </c>
      <c r="C57" s="50"/>
      <c r="D57" s="36">
        <v>-15.81</v>
      </c>
      <c r="E57" s="36">
        <v>223.54</v>
      </c>
      <c r="F57" s="36">
        <v>-12.86</v>
      </c>
      <c r="G57" s="36">
        <v>-137.9</v>
      </c>
      <c r="H57" s="36">
        <v>-164.75</v>
      </c>
      <c r="I57" s="36">
        <v>-406.45</v>
      </c>
      <c r="J57" s="36">
        <v>-226.39</v>
      </c>
      <c r="K57" s="36">
        <v>-361.6</v>
      </c>
      <c r="L57" s="36">
        <v>-377.2</v>
      </c>
    </row>
    <row r="58" spans="2:12" ht="14.4" customHeight="1" x14ac:dyDescent="0.3">
      <c r="B58" s="35" t="s">
        <v>83</v>
      </c>
      <c r="C58" s="50"/>
      <c r="D58" s="36">
        <v>-0.47</v>
      </c>
      <c r="E58" s="36">
        <v>-3.73</v>
      </c>
      <c r="F58" s="36">
        <v>0.81</v>
      </c>
      <c r="G58" s="36">
        <v>6.83</v>
      </c>
      <c r="H58" s="36">
        <v>-2.0699999999999998</v>
      </c>
      <c r="I58" s="36">
        <v>-3.38</v>
      </c>
      <c r="J58" s="36">
        <v>4.84</v>
      </c>
      <c r="K58" s="36">
        <v>11.95</v>
      </c>
      <c r="L58" s="36">
        <v>-4.49</v>
      </c>
    </row>
    <row r="60" spans="2:12" s="32" customFormat="1" ht="17.399999999999999" customHeight="1" x14ac:dyDescent="0.3">
      <c r="B60" s="30" t="s">
        <v>260</v>
      </c>
      <c r="C60" s="31"/>
      <c r="D60" s="31"/>
      <c r="E60" s="31"/>
      <c r="F60" s="31"/>
      <c r="G60" s="31"/>
      <c r="H60" s="31"/>
      <c r="I60" s="31"/>
      <c r="J60" s="31"/>
      <c r="K60" s="31"/>
      <c r="L60" s="31"/>
    </row>
    <row r="61" spans="2:12" ht="14.4" customHeight="1" x14ac:dyDescent="0.3">
      <c r="B61" s="33" t="s">
        <v>33</v>
      </c>
      <c r="C61" s="34" t="s">
        <v>84</v>
      </c>
      <c r="D61" s="34" t="s">
        <v>85</v>
      </c>
      <c r="E61" s="34" t="s">
        <v>86</v>
      </c>
      <c r="F61" s="34" t="s">
        <v>87</v>
      </c>
      <c r="G61" s="34" t="s">
        <v>88</v>
      </c>
      <c r="H61" s="34" t="s">
        <v>89</v>
      </c>
      <c r="I61" s="34" t="s">
        <v>90</v>
      </c>
      <c r="J61" s="34" t="s">
        <v>91</v>
      </c>
      <c r="K61" s="34" t="s">
        <v>92</v>
      </c>
      <c r="L61" s="34" t="s">
        <v>93</v>
      </c>
    </row>
    <row r="62" spans="2:12" ht="14.4" customHeight="1" x14ac:dyDescent="0.3">
      <c r="B62" s="35" t="s">
        <v>94</v>
      </c>
      <c r="C62" s="36">
        <v>217.86</v>
      </c>
      <c r="D62" s="36">
        <v>474.46</v>
      </c>
      <c r="E62" s="36">
        <v>363.16</v>
      </c>
      <c r="F62" s="36">
        <v>239.82</v>
      </c>
      <c r="G62" s="36">
        <v>267.95</v>
      </c>
      <c r="H62" s="36">
        <v>511.28</v>
      </c>
      <c r="I62" s="36">
        <v>367.44</v>
      </c>
      <c r="J62" s="36">
        <v>281.19</v>
      </c>
      <c r="K62" s="36">
        <v>263.14999999999998</v>
      </c>
      <c r="L62" s="36">
        <v>491.71</v>
      </c>
    </row>
    <row r="63" spans="2:12" ht="14.4" customHeight="1" x14ac:dyDescent="0.3">
      <c r="B63" s="35" t="s">
        <v>95</v>
      </c>
      <c r="C63" s="36">
        <v>125.13</v>
      </c>
      <c r="D63" s="36">
        <v>232.41</v>
      </c>
      <c r="E63" s="36">
        <v>188.07</v>
      </c>
      <c r="F63" s="36">
        <v>127.12</v>
      </c>
      <c r="G63" s="36">
        <v>145.96</v>
      </c>
      <c r="H63" s="36">
        <v>269.08</v>
      </c>
      <c r="I63" s="36">
        <v>201.71</v>
      </c>
      <c r="J63" s="36">
        <v>160.6</v>
      </c>
      <c r="K63" s="36">
        <v>152.36000000000001</v>
      </c>
      <c r="L63" s="36">
        <v>273.61</v>
      </c>
    </row>
    <row r="64" spans="2:12" ht="14.4" customHeight="1" x14ac:dyDescent="0.3">
      <c r="B64" s="43" t="s">
        <v>96</v>
      </c>
      <c r="C64" s="47">
        <v>92.73</v>
      </c>
      <c r="D64" s="47">
        <v>242.05</v>
      </c>
      <c r="E64" s="47">
        <v>175.09</v>
      </c>
      <c r="F64" s="47">
        <v>112.7</v>
      </c>
      <c r="G64" s="47">
        <v>121.99</v>
      </c>
      <c r="H64" s="47">
        <v>242.2</v>
      </c>
      <c r="I64" s="47">
        <v>165.73</v>
      </c>
      <c r="J64" s="47">
        <v>120.59</v>
      </c>
      <c r="K64" s="47">
        <v>110.79</v>
      </c>
      <c r="L64" s="47">
        <v>218.1</v>
      </c>
    </row>
    <row r="65" spans="2:12" ht="14.4" customHeight="1" x14ac:dyDescent="0.3">
      <c r="B65" s="43" t="s">
        <v>97</v>
      </c>
      <c r="C65" s="53">
        <f>IFERROR(C64/C62,"")</f>
        <v>0.42564031947122005</v>
      </c>
      <c r="D65" s="53">
        <f t="shared" ref="D65:L65" si="4">IFERROR(D64/D62,"")</f>
        <v>0.51015891750621767</v>
      </c>
      <c r="E65" s="53">
        <f t="shared" si="4"/>
        <v>0.4821290891067298</v>
      </c>
      <c r="F65" s="53">
        <f t="shared" si="4"/>
        <v>0.46993578517221252</v>
      </c>
      <c r="G65" s="53">
        <f t="shared" si="4"/>
        <v>0.45527150587796228</v>
      </c>
      <c r="H65" s="53">
        <f t="shared" si="4"/>
        <v>0.47371303395399783</v>
      </c>
      <c r="I65" s="53">
        <f t="shared" si="4"/>
        <v>0.4510396255170912</v>
      </c>
      <c r="J65" s="53">
        <f t="shared" si="4"/>
        <v>0.42885593371030267</v>
      </c>
      <c r="K65" s="53">
        <f t="shared" si="4"/>
        <v>0.42101463043891324</v>
      </c>
      <c r="L65" s="53">
        <f t="shared" si="4"/>
        <v>0.44355412743283645</v>
      </c>
    </row>
    <row r="66" spans="2:12" ht="14.4" customHeight="1" x14ac:dyDescent="0.3">
      <c r="B66" s="35" t="s">
        <v>59</v>
      </c>
      <c r="C66" s="36">
        <v>14.79</v>
      </c>
      <c r="D66" s="36">
        <v>15.47</v>
      </c>
      <c r="E66" s="36">
        <v>24.11</v>
      </c>
      <c r="F66" s="36">
        <v>21.46</v>
      </c>
      <c r="G66" s="36">
        <v>19.239999999999998</v>
      </c>
      <c r="H66" s="36">
        <v>22.39</v>
      </c>
      <c r="I66" s="36">
        <v>22.06</v>
      </c>
      <c r="J66" s="36">
        <v>25.83</v>
      </c>
      <c r="K66" s="36">
        <v>19.920000000000002</v>
      </c>
      <c r="L66" s="36">
        <v>21.44</v>
      </c>
    </row>
    <row r="67" spans="2:12" ht="14.4" customHeight="1" x14ac:dyDescent="0.3">
      <c r="B67" s="35" t="s">
        <v>98</v>
      </c>
      <c r="C67" s="36">
        <v>31.81</v>
      </c>
      <c r="D67" s="36">
        <v>34.43</v>
      </c>
      <c r="E67" s="36">
        <v>38.06</v>
      </c>
      <c r="F67" s="36">
        <v>37.18</v>
      </c>
      <c r="G67" s="36">
        <v>37.29</v>
      </c>
      <c r="H67" s="36">
        <v>39.130000000000003</v>
      </c>
      <c r="I67" s="36">
        <v>39.46</v>
      </c>
      <c r="J67" s="36">
        <v>39.78</v>
      </c>
      <c r="K67" s="36">
        <v>41.69</v>
      </c>
      <c r="L67" s="36">
        <v>44.21</v>
      </c>
    </row>
    <row r="68" spans="2:12" ht="14.4" customHeight="1" x14ac:dyDescent="0.3">
      <c r="B68" s="35" t="s">
        <v>99</v>
      </c>
      <c r="C68" s="36">
        <v>10.68</v>
      </c>
      <c r="D68" s="36">
        <v>11.18</v>
      </c>
      <c r="E68" s="36">
        <v>13.22</v>
      </c>
      <c r="F68" s="36">
        <v>13.92</v>
      </c>
      <c r="G68" s="36">
        <v>13.72</v>
      </c>
      <c r="H68" s="36">
        <v>13.95</v>
      </c>
      <c r="I68" s="36">
        <v>13.62</v>
      </c>
      <c r="J68" s="36">
        <v>14.13</v>
      </c>
      <c r="K68" s="36">
        <v>14.97</v>
      </c>
      <c r="L68" s="36">
        <v>14.03</v>
      </c>
    </row>
    <row r="69" spans="2:12" ht="14.4" customHeight="1" x14ac:dyDescent="0.3">
      <c r="B69" s="35" t="s">
        <v>62</v>
      </c>
      <c r="C69" s="36">
        <v>65.03</v>
      </c>
      <c r="D69" s="36">
        <v>211.91</v>
      </c>
      <c r="E69" s="36">
        <v>147.91999999999999</v>
      </c>
      <c r="F69" s="36">
        <v>83.06</v>
      </c>
      <c r="G69" s="36">
        <v>90.22</v>
      </c>
      <c r="H69" s="36">
        <v>211.51</v>
      </c>
      <c r="I69" s="36">
        <v>134.71</v>
      </c>
      <c r="J69" s="36">
        <v>92.51</v>
      </c>
      <c r="K69" s="36">
        <v>74.05</v>
      </c>
      <c r="L69" s="36">
        <v>181.3</v>
      </c>
    </row>
    <row r="70" spans="2:12" ht="14.4" customHeight="1" x14ac:dyDescent="0.3">
      <c r="B70" s="35" t="s">
        <v>63</v>
      </c>
      <c r="C70" s="36">
        <v>16.05</v>
      </c>
      <c r="D70" s="36">
        <v>54.2</v>
      </c>
      <c r="E70" s="36">
        <v>32.130000000000003</v>
      </c>
      <c r="F70" s="36">
        <v>20.57</v>
      </c>
      <c r="G70" s="36">
        <v>23.32</v>
      </c>
      <c r="H70" s="36">
        <v>53.54</v>
      </c>
      <c r="I70" s="36">
        <v>33.6</v>
      </c>
      <c r="J70" s="36">
        <v>22.25</v>
      </c>
      <c r="K70" s="36">
        <v>17.96</v>
      </c>
      <c r="L70" s="36">
        <v>46.39</v>
      </c>
    </row>
    <row r="71" spans="2:12" ht="14.4" customHeight="1" x14ac:dyDescent="0.3">
      <c r="B71" s="43" t="s">
        <v>100</v>
      </c>
      <c r="C71" s="47">
        <v>48.99</v>
      </c>
      <c r="D71" s="47">
        <v>157.71</v>
      </c>
      <c r="E71" s="47">
        <v>115.79</v>
      </c>
      <c r="F71" s="47">
        <v>62.49</v>
      </c>
      <c r="G71" s="47">
        <v>66.900000000000006</v>
      </c>
      <c r="H71" s="47">
        <v>157.97999999999999</v>
      </c>
      <c r="I71" s="47">
        <v>101.11</v>
      </c>
      <c r="J71" s="47">
        <v>70.260000000000005</v>
      </c>
      <c r="K71" s="47">
        <v>56.08</v>
      </c>
      <c r="L71" s="47">
        <v>134.9</v>
      </c>
    </row>
  </sheetData>
  <sheetProtection algorithmName="SHA-512" hashValue="r9yiSwHTC28c/juavDPz/+zEqBmcW7BXgB8udSHhpNwx4EktkfKAmxkDJ5Y+dlA2AVgn0KjEDfYl6sr3hjQKwg==" saltValue="70D5tSqFa8bP6avnO3oMZQ==" spinCount="100000" sheet="1" objects="1" scenarios="1"/>
  <pageMargins left="0.75" right="0.75" top="1" bottom="1" header="0.511811023622047" footer="0.511811023622047"/>
  <pageSetup paperSize="9" scale="73" fitToHeight="0" orientation="landscape" horizontalDpi="300" verticalDpi="30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2:I80"/>
  <sheetViews>
    <sheetView showGridLines="0" topLeftCell="B1" zoomScale="108" zoomScaleNormal="115" zoomScaleSheetLayoutView="63" workbookViewId="0">
      <selection activeCell="C78" sqref="C78"/>
    </sheetView>
  </sheetViews>
  <sheetFormatPr defaultColWidth="8.6640625" defaultRowHeight="14.4" x14ac:dyDescent="0.3"/>
  <cols>
    <col min="1" max="1" width="2.33203125" style="2" customWidth="1"/>
    <col min="2" max="2" width="38" style="2" customWidth="1"/>
    <col min="3" max="3" width="18" style="2" customWidth="1"/>
    <col min="4" max="4" width="12" style="2" customWidth="1"/>
    <col min="5" max="5" width="14" style="2" bestFit="1" customWidth="1"/>
    <col min="6" max="6" width="9.6640625" style="2" bestFit="1" customWidth="1"/>
    <col min="7" max="7" width="10.77734375" style="2" customWidth="1"/>
    <col min="8" max="8" width="11.44140625" style="2" bestFit="1" customWidth="1"/>
    <col min="9" max="16384" width="8.6640625" style="2"/>
  </cols>
  <sheetData>
    <row r="2" spans="2:9" ht="3" customHeight="1" x14ac:dyDescent="0.3">
      <c r="B2" s="3"/>
      <c r="C2" s="3"/>
      <c r="D2" s="3"/>
      <c r="E2" s="3"/>
      <c r="F2" s="3"/>
      <c r="G2" s="3"/>
      <c r="H2" s="3"/>
      <c r="I2" s="3"/>
    </row>
    <row r="3" spans="2:9" ht="30" customHeight="1" x14ac:dyDescent="0.3">
      <c r="B3" s="54" t="s">
        <v>101</v>
      </c>
      <c r="C3" s="1"/>
      <c r="D3" s="1"/>
      <c r="E3" s="1"/>
      <c r="F3" s="1"/>
      <c r="G3" s="1"/>
      <c r="H3" s="1"/>
      <c r="I3" s="1"/>
    </row>
    <row r="4" spans="2:9" ht="3" customHeight="1" x14ac:dyDescent="0.3">
      <c r="B4" s="3"/>
      <c r="C4" s="3"/>
      <c r="D4" s="3"/>
      <c r="E4" s="3"/>
      <c r="F4" s="3"/>
      <c r="G4" s="3"/>
      <c r="H4" s="3"/>
      <c r="I4" s="3"/>
    </row>
    <row r="6" spans="2:9" ht="21.75" customHeight="1" x14ac:dyDescent="0.3">
      <c r="B6" s="30" t="s">
        <v>261</v>
      </c>
      <c r="C6" s="31"/>
      <c r="D6" s="31"/>
    </row>
    <row r="7" spans="2:9" ht="15.75" customHeight="1" x14ac:dyDescent="0.3">
      <c r="B7" s="35" t="s">
        <v>102</v>
      </c>
      <c r="D7" s="83">
        <f>'Data Sheet'!L19</f>
        <v>1386.48</v>
      </c>
      <c r="E7" s="55"/>
    </row>
    <row r="8" spans="2:9" ht="15.75" customHeight="1" x14ac:dyDescent="0.3">
      <c r="B8" s="35" t="s">
        <v>103</v>
      </c>
      <c r="D8" s="83">
        <f>'Data Sheet'!L27</f>
        <v>642.61</v>
      </c>
      <c r="E8" s="55"/>
    </row>
    <row r="9" spans="2:9" ht="15.75" customHeight="1" x14ac:dyDescent="0.3">
      <c r="B9" s="35" t="s">
        <v>104</v>
      </c>
      <c r="D9" s="90">
        <f>D8/D7</f>
        <v>0.46348306502798453</v>
      </c>
      <c r="E9" s="55"/>
    </row>
    <row r="10" spans="2:9" ht="15.75" customHeight="1" x14ac:dyDescent="0.3">
      <c r="B10" s="35" t="s">
        <v>105</v>
      </c>
      <c r="D10" s="83">
        <f>'Data Sheet'!L29</f>
        <v>153.06</v>
      </c>
      <c r="E10" s="55"/>
    </row>
    <row r="11" spans="2:9" ht="15.75" customHeight="1" x14ac:dyDescent="0.3">
      <c r="B11" s="35" t="s">
        <v>106</v>
      </c>
      <c r="D11" s="91">
        <f>D8-D10</f>
        <v>489.55</v>
      </c>
      <c r="E11" s="55"/>
    </row>
    <row r="12" spans="2:9" ht="15.75" customHeight="1" x14ac:dyDescent="0.3">
      <c r="B12" s="35" t="s">
        <v>107</v>
      </c>
      <c r="D12" s="83">
        <f>'Data Sheet'!L30</f>
        <v>55.21</v>
      </c>
      <c r="E12" s="55"/>
    </row>
    <row r="13" spans="2:9" ht="15.75" customHeight="1" x14ac:dyDescent="0.3">
      <c r="B13" s="35" t="s">
        <v>108</v>
      </c>
      <c r="D13" s="83">
        <f>'Data Sheet'!L31</f>
        <v>519.5</v>
      </c>
      <c r="E13" s="55"/>
    </row>
    <row r="14" spans="2:9" ht="15.75" customHeight="1" x14ac:dyDescent="0.3">
      <c r="B14" s="35" t="s">
        <v>109</v>
      </c>
      <c r="D14" s="90">
        <f>'Data Sheet'!L32/'Data Sheet'!L31</f>
        <v>0.25222329162656398</v>
      </c>
      <c r="E14" s="56"/>
    </row>
    <row r="15" spans="2:9" ht="15.75" customHeight="1" x14ac:dyDescent="0.3">
      <c r="B15" s="35" t="s">
        <v>110</v>
      </c>
      <c r="D15" s="83">
        <f>'Data Sheet'!L33</f>
        <v>388.47</v>
      </c>
      <c r="E15" s="55"/>
    </row>
    <row r="16" spans="2:9" ht="15.75" customHeight="1" x14ac:dyDescent="0.3">
      <c r="B16" s="35" t="s">
        <v>111</v>
      </c>
      <c r="D16" s="57">
        <v>114</v>
      </c>
      <c r="E16" s="55"/>
    </row>
    <row r="17" spans="2:5" ht="15.75" customHeight="1" x14ac:dyDescent="0.3">
      <c r="B17" s="35" t="s">
        <v>112</v>
      </c>
      <c r="D17" s="57">
        <v>104</v>
      </c>
      <c r="E17" s="55"/>
    </row>
    <row r="18" spans="2:5" ht="15.75" customHeight="1" x14ac:dyDescent="0.3">
      <c r="B18" s="35" t="s">
        <v>113</v>
      </c>
      <c r="D18" s="83">
        <f>'Data Sheet'!L41</f>
        <v>482.89</v>
      </c>
      <c r="E18" s="55"/>
    </row>
    <row r="19" spans="2:5" ht="15.75" customHeight="1" x14ac:dyDescent="0.3">
      <c r="B19" s="35" t="s">
        <v>114</v>
      </c>
      <c r="D19" s="83">
        <f>'Data Sheet'!L50</f>
        <v>17.23</v>
      </c>
      <c r="E19" s="55"/>
    </row>
    <row r="20" spans="2:5" ht="15.75" customHeight="1" x14ac:dyDescent="0.3">
      <c r="B20" s="35" t="s">
        <v>115</v>
      </c>
      <c r="D20" s="83">
        <f>D18-D19</f>
        <v>465.65999999999997</v>
      </c>
      <c r="E20" s="55"/>
    </row>
    <row r="22" spans="2:5" ht="21.75" customHeight="1" x14ac:dyDescent="0.3">
      <c r="B22" s="30" t="s">
        <v>116</v>
      </c>
      <c r="C22" s="31"/>
      <c r="D22" s="31"/>
    </row>
    <row r="23" spans="2:5" ht="15.75" customHeight="1" x14ac:dyDescent="0.3">
      <c r="B23" s="35" t="s">
        <v>117</v>
      </c>
      <c r="D23" s="57">
        <v>350.1</v>
      </c>
      <c r="E23" s="55"/>
    </row>
    <row r="24" spans="2:5" ht="15.75" customHeight="1" x14ac:dyDescent="0.3">
      <c r="B24" s="35" t="s">
        <v>44</v>
      </c>
      <c r="D24" s="83">
        <f>'Data Sheet'!L11</f>
        <v>24.29</v>
      </c>
      <c r="E24" s="55"/>
    </row>
    <row r="25" spans="2:5" ht="15.75" customHeight="1" x14ac:dyDescent="0.3">
      <c r="B25" s="35" t="s">
        <v>118</v>
      </c>
      <c r="D25" s="92">
        <f>D23*D24</f>
        <v>8503.9290000000001</v>
      </c>
      <c r="E25" s="55"/>
    </row>
    <row r="26" spans="2:5" ht="15.75" customHeight="1" x14ac:dyDescent="0.3">
      <c r="B26" s="35" t="s">
        <v>119</v>
      </c>
      <c r="D26" s="59">
        <v>0.3</v>
      </c>
      <c r="E26" s="55"/>
    </row>
    <row r="27" spans="2:5" ht="15.75" customHeight="1" x14ac:dyDescent="0.3">
      <c r="B27" s="35" t="s">
        <v>120</v>
      </c>
      <c r="D27" s="83">
        <f>D23*(1+D26)</f>
        <v>455.13000000000005</v>
      </c>
      <c r="E27" s="55"/>
    </row>
    <row r="28" spans="2:5" ht="15.75" customHeight="1" x14ac:dyDescent="0.3">
      <c r="B28" s="35" t="s">
        <v>121</v>
      </c>
      <c r="D28" s="83">
        <f>D27*D24</f>
        <v>11055.1077</v>
      </c>
      <c r="E28" s="55"/>
    </row>
    <row r="29" spans="2:5" ht="15.75" customHeight="1" x14ac:dyDescent="0.3">
      <c r="B29" s="35" t="s">
        <v>122</v>
      </c>
      <c r="D29" s="83">
        <f>D18</f>
        <v>482.89</v>
      </c>
      <c r="E29" s="55"/>
    </row>
    <row r="30" spans="2:5" ht="15.75" customHeight="1" x14ac:dyDescent="0.3">
      <c r="B30" s="35" t="s">
        <v>123</v>
      </c>
      <c r="D30" s="83">
        <f>D19</f>
        <v>17.23</v>
      </c>
      <c r="E30" s="55"/>
    </row>
    <row r="31" spans="2:5" ht="15.75" customHeight="1" x14ac:dyDescent="0.3">
      <c r="B31" s="43" t="s">
        <v>124</v>
      </c>
      <c r="D31" s="92">
        <f>D28+D29-D30</f>
        <v>11520.7677</v>
      </c>
      <c r="E31" s="55"/>
    </row>
    <row r="32" spans="2:5" ht="15.75" customHeight="1" x14ac:dyDescent="0.3">
      <c r="B32" s="43" t="s">
        <v>125</v>
      </c>
      <c r="D32" s="93">
        <f>D31/D8</f>
        <v>17.928086553274927</v>
      </c>
      <c r="E32" s="55"/>
    </row>
    <row r="33" spans="2:9" ht="15.75" customHeight="1" x14ac:dyDescent="0.3">
      <c r="B33" s="35" t="s">
        <v>126</v>
      </c>
      <c r="D33" s="59">
        <v>0.02</v>
      </c>
      <c r="E33" s="55"/>
    </row>
    <row r="34" spans="2:9" ht="15.75" customHeight="1" x14ac:dyDescent="0.3">
      <c r="B34" s="35" t="s">
        <v>127</v>
      </c>
      <c r="D34" s="83">
        <f>D33*D31</f>
        <v>230.41535400000001</v>
      </c>
      <c r="E34" s="55"/>
    </row>
    <row r="35" spans="2:9" ht="15.75" customHeight="1" x14ac:dyDescent="0.3">
      <c r="B35" s="60" t="s">
        <v>128</v>
      </c>
      <c r="C35" s="60"/>
      <c r="D35" s="109">
        <f>D28+D29+D34</f>
        <v>11768.413054000001</v>
      </c>
      <c r="E35" s="55"/>
    </row>
    <row r="37" spans="2:9" ht="21.75" customHeight="1" x14ac:dyDescent="0.3">
      <c r="B37" s="125" t="s">
        <v>129</v>
      </c>
      <c r="C37" s="125"/>
      <c r="D37" s="125"/>
      <c r="E37" s="125"/>
      <c r="F37" s="125"/>
      <c r="G37" s="125"/>
      <c r="H37" s="125"/>
      <c r="I37" s="125"/>
    </row>
    <row r="38" spans="2:9" s="66" customFormat="1" ht="15" customHeight="1" x14ac:dyDescent="0.3">
      <c r="B38" s="61" t="s">
        <v>130</v>
      </c>
      <c r="C38" s="61"/>
      <c r="D38" s="61"/>
      <c r="E38" s="62" t="s">
        <v>131</v>
      </c>
      <c r="F38" s="63" t="s">
        <v>132</v>
      </c>
      <c r="G38" s="64" t="s">
        <v>133</v>
      </c>
      <c r="H38" s="63" t="s">
        <v>134</v>
      </c>
      <c r="I38" s="65" t="s">
        <v>135</v>
      </c>
    </row>
    <row r="39" spans="2:9" ht="15" customHeight="1" x14ac:dyDescent="0.3">
      <c r="B39" s="35" t="s">
        <v>136</v>
      </c>
      <c r="E39" s="67">
        <v>1800</v>
      </c>
      <c r="F39" s="96">
        <f>E39/D31</f>
        <v>0.15623958809619953</v>
      </c>
      <c r="G39" s="94">
        <f>E39/D8</f>
        <v>2.8010768584366876</v>
      </c>
      <c r="H39" s="59">
        <v>0.105</v>
      </c>
      <c r="I39" s="68">
        <v>5</v>
      </c>
    </row>
    <row r="40" spans="2:9" ht="15" customHeight="1" x14ac:dyDescent="0.3">
      <c r="B40" s="35" t="s">
        <v>137</v>
      </c>
      <c r="E40" s="67">
        <v>700</v>
      </c>
      <c r="F40" s="96">
        <f>E40/D31</f>
        <v>6.0759839815188704E-2</v>
      </c>
      <c r="G40" s="94">
        <f>E40/D8</f>
        <v>1.089307667169823</v>
      </c>
      <c r="H40" s="59">
        <v>0.12</v>
      </c>
      <c r="I40" s="69">
        <v>6</v>
      </c>
    </row>
    <row r="41" spans="2:9" ht="15" customHeight="1" x14ac:dyDescent="0.3">
      <c r="B41" s="35" t="s">
        <v>138</v>
      </c>
      <c r="E41" s="67">
        <v>200</v>
      </c>
      <c r="F41" s="96">
        <f>E41/D31</f>
        <v>1.7359954232911059E-2</v>
      </c>
      <c r="G41" s="94">
        <f>E41/D8</f>
        <v>0.31123076204852085</v>
      </c>
      <c r="H41" s="59">
        <v>0.14000000000000001</v>
      </c>
      <c r="I41" s="68">
        <v>5</v>
      </c>
    </row>
    <row r="42" spans="2:9" ht="15" customHeight="1" x14ac:dyDescent="0.3">
      <c r="B42" s="43" t="s">
        <v>139</v>
      </c>
      <c r="C42" s="43"/>
      <c r="D42" s="43"/>
      <c r="E42" s="92">
        <f>E39+E40+E41</f>
        <v>2700</v>
      </c>
      <c r="F42" s="95">
        <f>E42/D31</f>
        <v>0.23435938214429927</v>
      </c>
      <c r="G42" s="93">
        <f>E42/D8</f>
        <v>4.2016152876550317</v>
      </c>
      <c r="H42" s="95">
        <f>SUMPRODUCT(E39:E41,H39:H41)/E42</f>
        <v>0.11148148148148149</v>
      </c>
      <c r="I42" s="69"/>
    </row>
    <row r="43" spans="2:9" ht="15" customHeight="1" x14ac:dyDescent="0.3">
      <c r="B43" s="70" t="s">
        <v>140</v>
      </c>
      <c r="C43" s="70"/>
      <c r="D43" s="70"/>
      <c r="E43" s="92">
        <f>D35-E42</f>
        <v>9068.4130540000006</v>
      </c>
      <c r="F43" s="95">
        <f>E43/D31</f>
        <v>0.78713617791286605</v>
      </c>
    </row>
    <row r="44" spans="2:9" ht="15" customHeight="1" x14ac:dyDescent="0.3">
      <c r="B44" s="60" t="s">
        <v>141</v>
      </c>
      <c r="C44" s="60"/>
      <c r="D44" s="60"/>
      <c r="E44" s="121">
        <f>E42+E43</f>
        <v>11768.413054000001</v>
      </c>
      <c r="F44" s="71"/>
      <c r="G44" s="72"/>
      <c r="H44" s="71"/>
      <c r="I44" s="73"/>
    </row>
    <row r="45" spans="2:9" ht="15" customHeight="1" x14ac:dyDescent="0.3"/>
    <row r="46" spans="2:9" ht="15" customHeight="1" x14ac:dyDescent="0.3">
      <c r="B46" s="74" t="s">
        <v>241</v>
      </c>
      <c r="C46" s="75"/>
      <c r="D46" s="75"/>
      <c r="E46" s="75"/>
      <c r="F46" s="75"/>
      <c r="G46" s="75"/>
    </row>
    <row r="47" spans="2:9" ht="15" customHeight="1" x14ac:dyDescent="0.3">
      <c r="E47" s="76" t="s">
        <v>242</v>
      </c>
      <c r="F47" s="76" t="s">
        <v>243</v>
      </c>
      <c r="G47" s="76" t="s">
        <v>244</v>
      </c>
    </row>
    <row r="48" spans="2:9" ht="15" customHeight="1" x14ac:dyDescent="0.3">
      <c r="B48" s="2" t="s">
        <v>245</v>
      </c>
      <c r="E48" s="97">
        <f>E39</f>
        <v>1800</v>
      </c>
      <c r="F48" s="98">
        <f>E48/$D$8</f>
        <v>2.8010768584366876</v>
      </c>
      <c r="G48" s="99">
        <f>E48/$E$52</f>
        <v>0.15295180341993458</v>
      </c>
    </row>
    <row r="49" spans="2:9" ht="15" customHeight="1" x14ac:dyDescent="0.3">
      <c r="B49" s="2" t="s">
        <v>246</v>
      </c>
      <c r="E49" s="97">
        <f>E40</f>
        <v>700</v>
      </c>
      <c r="F49" s="98">
        <f>E49/$D$8</f>
        <v>1.089307667169823</v>
      </c>
      <c r="G49" s="99">
        <f>E49/$E$52</f>
        <v>5.9481256885530111E-2</v>
      </c>
    </row>
    <row r="50" spans="2:9" ht="15" customHeight="1" x14ac:dyDescent="0.3">
      <c r="B50" s="2" t="s">
        <v>249</v>
      </c>
      <c r="E50" s="97">
        <f>E41</f>
        <v>200</v>
      </c>
      <c r="F50" s="98">
        <f>E50/$D$8</f>
        <v>0.31123076204852085</v>
      </c>
      <c r="G50" s="99">
        <f>E50/$E$52</f>
        <v>1.6994644824437175E-2</v>
      </c>
    </row>
    <row r="51" spans="2:9" ht="15" customHeight="1" x14ac:dyDescent="0.3">
      <c r="B51" s="2" t="s">
        <v>248</v>
      </c>
      <c r="E51" s="97">
        <f>E43</f>
        <v>9068.4130540000006</v>
      </c>
      <c r="F51" s="98">
        <f>E51/$D$8</f>
        <v>14.111845526835873</v>
      </c>
      <c r="G51" s="99">
        <f>E51/$E$52</f>
        <v>0.77057229487009815</v>
      </c>
    </row>
    <row r="52" spans="2:9" ht="15" customHeight="1" x14ac:dyDescent="0.3">
      <c r="B52" s="77" t="s">
        <v>247</v>
      </c>
      <c r="C52" s="78"/>
      <c r="D52" s="78"/>
      <c r="E52" s="88">
        <f>SUM(E48:E51)</f>
        <v>11768.413054000001</v>
      </c>
      <c r="F52" s="100">
        <f>SUM(F48:F51)</f>
        <v>18.313460814490902</v>
      </c>
      <c r="G52" s="89">
        <f>SUM(G48:G51)</f>
        <v>1</v>
      </c>
    </row>
    <row r="53" spans="2:9" ht="15" customHeight="1" x14ac:dyDescent="0.3"/>
    <row r="54" spans="2:9" ht="15" customHeight="1" x14ac:dyDescent="0.3">
      <c r="B54" s="74" t="s">
        <v>250</v>
      </c>
      <c r="C54" s="74"/>
      <c r="D54" s="74"/>
      <c r="E54" s="74"/>
      <c r="F54" s="74"/>
      <c r="G54" s="74"/>
    </row>
    <row r="55" spans="2:9" ht="15" customHeight="1" x14ac:dyDescent="0.3">
      <c r="E55" s="76" t="s">
        <v>242</v>
      </c>
      <c r="F55" s="76" t="s">
        <v>243</v>
      </c>
      <c r="G55" s="76" t="s">
        <v>244</v>
      </c>
    </row>
    <row r="56" spans="2:9" ht="15" customHeight="1" x14ac:dyDescent="0.3">
      <c r="B56" s="2" t="s">
        <v>251</v>
      </c>
      <c r="E56" s="97">
        <f>D28</f>
        <v>11055.1077</v>
      </c>
      <c r="F56" s="98">
        <f>E56/$D$8</f>
        <v>17.203447969997356</v>
      </c>
      <c r="G56" s="101">
        <f>E56/$E$59</f>
        <v>0.9393881442870029</v>
      </c>
    </row>
    <row r="57" spans="2:9" ht="15" customHeight="1" x14ac:dyDescent="0.3">
      <c r="B57" s="2" t="s">
        <v>252</v>
      </c>
      <c r="E57" s="97">
        <f>D29</f>
        <v>482.89</v>
      </c>
      <c r="F57" s="98">
        <f>E57/$D$8</f>
        <v>0.75145111342805115</v>
      </c>
      <c r="G57" s="101">
        <f>E57/$E$59</f>
        <v>4.1032720196362338E-2</v>
      </c>
    </row>
    <row r="58" spans="2:9" ht="15" customHeight="1" x14ac:dyDescent="0.3">
      <c r="B58" s="2" t="s">
        <v>253</v>
      </c>
      <c r="E58" s="97">
        <f>D34</f>
        <v>230.41535400000001</v>
      </c>
      <c r="F58" s="98">
        <f>E58/$D$8</f>
        <v>0.35856173106549855</v>
      </c>
      <c r="G58" s="101">
        <f>E58/$E$59</f>
        <v>1.9579135516634798E-2</v>
      </c>
    </row>
    <row r="59" spans="2:9" ht="15" customHeight="1" x14ac:dyDescent="0.3">
      <c r="B59" s="77" t="s">
        <v>247</v>
      </c>
      <c r="C59" s="78"/>
      <c r="D59" s="78"/>
      <c r="E59" s="88">
        <f>SUM(E56:E58)</f>
        <v>11768.413054000001</v>
      </c>
      <c r="F59" s="100">
        <f>SUM(F56:F58)</f>
        <v>18.313460814490906</v>
      </c>
      <c r="G59" s="89">
        <f>SUM(G56:G58)</f>
        <v>1</v>
      </c>
    </row>
    <row r="60" spans="2:9" ht="15" customHeight="1" x14ac:dyDescent="0.3"/>
    <row r="61" spans="2:9" ht="21.75" customHeight="1" x14ac:dyDescent="0.3">
      <c r="B61" s="30" t="s">
        <v>142</v>
      </c>
      <c r="C61" s="31"/>
      <c r="D61" s="31"/>
      <c r="E61" s="31"/>
      <c r="F61" s="31"/>
      <c r="G61" s="31"/>
      <c r="H61" s="31"/>
      <c r="I61" s="30"/>
    </row>
    <row r="62" spans="2:9" ht="15" customHeight="1" x14ac:dyDescent="0.3">
      <c r="B62" s="33" t="s">
        <v>143</v>
      </c>
      <c r="C62" s="79" t="s">
        <v>144</v>
      </c>
      <c r="D62" s="79" t="s">
        <v>145</v>
      </c>
      <c r="E62" s="79" t="s">
        <v>146</v>
      </c>
      <c r="F62" s="79" t="s">
        <v>147</v>
      </c>
      <c r="G62" s="79" t="s">
        <v>148</v>
      </c>
      <c r="H62" s="79" t="s">
        <v>149</v>
      </c>
      <c r="I62" s="79" t="s">
        <v>150</v>
      </c>
    </row>
    <row r="63" spans="2:9" ht="15" customHeight="1" x14ac:dyDescent="0.3">
      <c r="B63" s="43" t="s">
        <v>151</v>
      </c>
      <c r="C63" s="80" t="s">
        <v>152</v>
      </c>
      <c r="D63" s="81">
        <v>0.06</v>
      </c>
      <c r="E63" s="122">
        <f>'Sensitivity Analysis'!C8</f>
        <v>0.1</v>
      </c>
      <c r="F63" s="81">
        <v>0.12</v>
      </c>
      <c r="G63" s="81">
        <v>0.12</v>
      </c>
      <c r="H63" s="81">
        <v>0.12</v>
      </c>
      <c r="I63" s="81">
        <v>0.11</v>
      </c>
    </row>
    <row r="64" spans="2:9" ht="15" customHeight="1" x14ac:dyDescent="0.3"/>
    <row r="65" spans="2:9" ht="15" customHeight="1" x14ac:dyDescent="0.3">
      <c r="B65" s="43" t="s">
        <v>153</v>
      </c>
      <c r="C65" s="80" t="s">
        <v>154</v>
      </c>
      <c r="D65" s="81">
        <v>0.44</v>
      </c>
      <c r="E65" s="81">
        <v>0.44800000000000001</v>
      </c>
      <c r="F65" s="81">
        <v>0.45500000000000002</v>
      </c>
      <c r="G65" s="81">
        <v>0.46</v>
      </c>
      <c r="H65" s="81">
        <v>0.46200000000000002</v>
      </c>
      <c r="I65" s="81">
        <v>0.46500000000000002</v>
      </c>
    </row>
    <row r="66" spans="2:9" ht="15" customHeight="1" x14ac:dyDescent="0.3"/>
    <row r="67" spans="2:9" ht="15" customHeight="1" x14ac:dyDescent="0.3">
      <c r="B67" s="43" t="s">
        <v>155</v>
      </c>
      <c r="C67" s="80" t="s">
        <v>154</v>
      </c>
      <c r="D67" s="81">
        <v>0.11</v>
      </c>
      <c r="E67" s="81">
        <v>0.108</v>
      </c>
      <c r="F67" s="81">
        <v>0.105</v>
      </c>
      <c r="G67" s="81">
        <v>0.10299999999999999</v>
      </c>
      <c r="H67" s="81">
        <v>0.1</v>
      </c>
      <c r="I67" s="81">
        <v>9.8000000000000004E-2</v>
      </c>
    </row>
    <row r="68" spans="2:9" ht="15" customHeight="1" x14ac:dyDescent="0.3"/>
    <row r="69" spans="2:9" ht="15" customHeight="1" x14ac:dyDescent="0.3">
      <c r="B69" s="43" t="s">
        <v>156</v>
      </c>
      <c r="C69" s="80" t="s">
        <v>154</v>
      </c>
      <c r="D69" s="81">
        <v>8.5000000000000006E-2</v>
      </c>
      <c r="E69" s="81">
        <v>0.08</v>
      </c>
      <c r="F69" s="81">
        <v>7.4999999999999997E-2</v>
      </c>
      <c r="G69" s="81">
        <v>7.0000000000000007E-2</v>
      </c>
      <c r="H69" s="81">
        <v>6.5000000000000002E-2</v>
      </c>
      <c r="I69" s="81">
        <v>0.06</v>
      </c>
    </row>
    <row r="70" spans="2:9" ht="15" customHeight="1" x14ac:dyDescent="0.3"/>
    <row r="71" spans="2:9" ht="15" customHeight="1" x14ac:dyDescent="0.3">
      <c r="B71" s="43" t="s">
        <v>157</v>
      </c>
      <c r="C71" s="80" t="s">
        <v>154</v>
      </c>
      <c r="D71" s="81">
        <v>5.5E-2</v>
      </c>
      <c r="E71" s="81">
        <v>4.4999999999999998E-2</v>
      </c>
      <c r="F71" s="81">
        <v>3.5000000000000003E-2</v>
      </c>
      <c r="G71" s="81">
        <v>0.03</v>
      </c>
      <c r="H71" s="81">
        <v>2.8000000000000001E-2</v>
      </c>
      <c r="I71" s="81">
        <v>2.5000000000000001E-2</v>
      </c>
    </row>
    <row r="72" spans="2:9" ht="15" customHeight="1" x14ac:dyDescent="0.3"/>
    <row r="73" spans="2:9" ht="15" customHeight="1" x14ac:dyDescent="0.3">
      <c r="B73" s="43" t="s">
        <v>158</v>
      </c>
      <c r="C73" s="80" t="s">
        <v>159</v>
      </c>
      <c r="D73" s="81">
        <v>0.252</v>
      </c>
      <c r="E73" s="81">
        <v>0.252</v>
      </c>
      <c r="F73" s="81">
        <v>0.252</v>
      </c>
      <c r="G73" s="81">
        <v>0.252</v>
      </c>
      <c r="H73" s="81">
        <v>0.252</v>
      </c>
      <c r="I73" s="81">
        <v>0.252</v>
      </c>
    </row>
    <row r="74" spans="2:9" ht="15" customHeight="1" x14ac:dyDescent="0.3"/>
    <row r="76" spans="2:9" ht="21.75" customHeight="1" x14ac:dyDescent="0.3">
      <c r="B76" s="30" t="s">
        <v>160</v>
      </c>
      <c r="C76" s="31"/>
      <c r="D76" s="31"/>
      <c r="E76" s="31"/>
      <c r="F76" s="31"/>
      <c r="G76" s="31"/>
      <c r="H76" s="31"/>
      <c r="I76" s="30"/>
    </row>
    <row r="77" spans="2:9" ht="15" customHeight="1" x14ac:dyDescent="0.3">
      <c r="B77" s="35" t="s">
        <v>161</v>
      </c>
      <c r="C77" s="69">
        <v>6</v>
      </c>
      <c r="E77" s="82"/>
    </row>
    <row r="78" spans="2:9" ht="20.25" customHeight="1" x14ac:dyDescent="0.3">
      <c r="B78" s="43" t="s">
        <v>162</v>
      </c>
      <c r="C78" s="123">
        <f>'Sensitivity Analysis'!C7</f>
        <v>22</v>
      </c>
      <c r="E78" s="82"/>
    </row>
    <row r="79" spans="2:9" ht="15" customHeight="1" x14ac:dyDescent="0.3">
      <c r="B79" s="43" t="s">
        <v>163</v>
      </c>
      <c r="C79" s="102">
        <f>Financials!M10*C78</f>
        <v>25790.801576045269</v>
      </c>
      <c r="E79" s="82"/>
    </row>
    <row r="80" spans="2:9" ht="15" customHeight="1" x14ac:dyDescent="0.3">
      <c r="B80" s="35" t="s">
        <v>164</v>
      </c>
      <c r="C80" s="102">
        <f>C79-'Debt Schedule'!H19</f>
        <v>25790.801576045269</v>
      </c>
      <c r="E80" s="82"/>
    </row>
  </sheetData>
  <sheetProtection algorithmName="SHA-512" hashValue="SdOPv8wBqZoHrXjAFLQHUyKwChUT0B6asH9yc7T534fW9ee0QZZ5I5EXiKRxRfKd/4hpGuL1jqO6Qey4yO3Ubw==" saltValue="1BUwTv7SumuICdHrGA5FoA==" spinCount="100000" sheet="1" objects="1" scenarios="1"/>
  <mergeCells count="1">
    <mergeCell ref="B37:I37"/>
  </mergeCells>
  <pageMargins left="0.75" right="0.75" top="1" bottom="1" header="0.511811023622047" footer="0.511811023622047"/>
  <pageSetup paperSize="9" fitToHeight="0" orientation="landscape" horizontalDpi="300" verticalDpi="300" r:id="rId1"/>
  <colBreaks count="1" manualBreakCount="1">
    <brk id="7" max="1048575" man="1"/>
  </colBreaks>
  <ignoredErrors>
    <ignoredError sqref="E63 C78"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2:T34"/>
  <sheetViews>
    <sheetView showGridLines="0" zoomScaleNormal="100" workbookViewId="0">
      <selection activeCell="E25" sqref="E25"/>
    </sheetView>
  </sheetViews>
  <sheetFormatPr defaultColWidth="8.6640625" defaultRowHeight="14.4" x14ac:dyDescent="0.3"/>
  <cols>
    <col min="1" max="1" width="2.33203125" style="2" customWidth="1"/>
    <col min="2" max="2" width="36" style="2" customWidth="1"/>
    <col min="3" max="13" width="13" style="2" customWidth="1"/>
    <col min="14" max="16384" width="8.6640625" style="2"/>
  </cols>
  <sheetData>
    <row r="2" spans="2:20" ht="3" customHeight="1" x14ac:dyDescent="0.3">
      <c r="B2" s="3"/>
      <c r="C2" s="3"/>
      <c r="D2" s="3"/>
      <c r="E2" s="3"/>
      <c r="F2" s="3"/>
      <c r="G2" s="3"/>
      <c r="H2" s="3"/>
      <c r="I2" s="3"/>
      <c r="J2" s="3"/>
      <c r="K2" s="3"/>
      <c r="L2" s="3"/>
      <c r="M2" s="3"/>
      <c r="T2" s="3"/>
    </row>
    <row r="3" spans="2:20" ht="27.75" customHeight="1" x14ac:dyDescent="0.3">
      <c r="B3" s="103" t="s">
        <v>165</v>
      </c>
      <c r="C3" s="1"/>
      <c r="D3" s="1"/>
      <c r="E3" s="1"/>
      <c r="F3" s="1"/>
      <c r="G3" s="1"/>
      <c r="H3" s="1"/>
      <c r="I3" s="1"/>
      <c r="J3" s="1"/>
      <c r="K3" s="1"/>
      <c r="L3" s="1"/>
      <c r="M3" s="1"/>
      <c r="T3" s="1"/>
    </row>
    <row r="4" spans="2:20" ht="3" customHeight="1" x14ac:dyDescent="0.3">
      <c r="B4" s="3"/>
      <c r="C4" s="3"/>
      <c r="D4" s="3"/>
      <c r="E4" s="3"/>
      <c r="F4" s="3"/>
      <c r="G4" s="3"/>
      <c r="H4" s="3"/>
      <c r="I4" s="3"/>
      <c r="J4" s="3"/>
      <c r="K4" s="3"/>
      <c r="L4" s="3"/>
      <c r="M4" s="3"/>
      <c r="T4" s="3"/>
    </row>
    <row r="6" spans="2:20" ht="19.5" customHeight="1" x14ac:dyDescent="0.3">
      <c r="B6" s="104" t="s">
        <v>263</v>
      </c>
      <c r="C6" s="79" t="s">
        <v>166</v>
      </c>
      <c r="D6" s="79" t="s">
        <v>167</v>
      </c>
      <c r="E6" s="79" t="s">
        <v>168</v>
      </c>
      <c r="F6" s="79" t="s">
        <v>169</v>
      </c>
      <c r="G6" s="79" t="s">
        <v>170</v>
      </c>
      <c r="H6" s="105" t="s">
        <v>145</v>
      </c>
      <c r="I6" s="105" t="s">
        <v>146</v>
      </c>
      <c r="J6" s="105" t="s">
        <v>147</v>
      </c>
      <c r="K6" s="105" t="s">
        <v>148</v>
      </c>
      <c r="L6" s="105" t="s">
        <v>149</v>
      </c>
      <c r="M6" s="105" t="s">
        <v>150</v>
      </c>
    </row>
    <row r="7" spans="2:20" ht="21.75" customHeight="1" x14ac:dyDescent="0.3">
      <c r="B7" s="30" t="s">
        <v>171</v>
      </c>
      <c r="C7" s="30"/>
      <c r="D7" s="30"/>
      <c r="E7" s="30"/>
      <c r="F7" s="30"/>
      <c r="G7" s="30"/>
      <c r="H7" s="30"/>
      <c r="I7" s="30"/>
      <c r="J7" s="30"/>
      <c r="K7" s="30"/>
      <c r="L7" s="30"/>
      <c r="M7" s="30"/>
    </row>
    <row r="8" spans="2:20" ht="15" customHeight="1" x14ac:dyDescent="0.3">
      <c r="B8" s="43" t="s">
        <v>50</v>
      </c>
      <c r="C8" s="92">
        <f>'Data Sheet'!H19</f>
        <v>542.41</v>
      </c>
      <c r="D8" s="92">
        <f>'Data Sheet'!I19</f>
        <v>1008.75</v>
      </c>
      <c r="E8" s="92">
        <f>'Data Sheet'!J19</f>
        <v>1325.96</v>
      </c>
      <c r="F8" s="92">
        <f>'Data Sheet'!K19</f>
        <v>1367.53</v>
      </c>
      <c r="G8" s="92">
        <f>'Data Sheet'!L19</f>
        <v>1386.48</v>
      </c>
      <c r="H8" s="92">
        <f>G8*(1+Assumptions!D63)</f>
        <v>1469.6688000000001</v>
      </c>
      <c r="I8" s="92">
        <f>H8*(1+Assumptions!E63)</f>
        <v>1616.6356800000003</v>
      </c>
      <c r="J8" s="92">
        <f>I8*(1+Assumptions!F63)</f>
        <v>1810.6319616000005</v>
      </c>
      <c r="K8" s="92">
        <f>J8*(1+Assumptions!G63)</f>
        <v>2027.9077969920008</v>
      </c>
      <c r="L8" s="92">
        <f>K8*(1+Assumptions!H63)</f>
        <v>2271.2567326310414</v>
      </c>
      <c r="M8" s="92">
        <f>L8*(1+Assumptions!I63)</f>
        <v>2521.0949732204563</v>
      </c>
    </row>
    <row r="9" spans="2:20" ht="15" customHeight="1" x14ac:dyDescent="0.3">
      <c r="B9" s="104" t="s">
        <v>172</v>
      </c>
      <c r="C9" s="106" t="s">
        <v>47</v>
      </c>
      <c r="D9" s="96">
        <f>D8/C8-1</f>
        <v>0.85975553548054062</v>
      </c>
      <c r="E9" s="96">
        <f t="shared" ref="E9:G9" si="0">E8/D8-1</f>
        <v>0.31445848822800504</v>
      </c>
      <c r="F9" s="96">
        <f t="shared" si="0"/>
        <v>3.1350870312829793E-2</v>
      </c>
      <c r="G9" s="96">
        <f t="shared" si="0"/>
        <v>1.3857100027056202E-2</v>
      </c>
      <c r="H9" s="96">
        <f>Assumptions!D63</f>
        <v>0.06</v>
      </c>
      <c r="I9" s="96">
        <f>Assumptions!E63</f>
        <v>0.1</v>
      </c>
      <c r="J9" s="96">
        <f>Assumptions!F63</f>
        <v>0.12</v>
      </c>
      <c r="K9" s="96">
        <f>Assumptions!G63</f>
        <v>0.12</v>
      </c>
      <c r="L9" s="96">
        <f>Assumptions!H63</f>
        <v>0.12</v>
      </c>
      <c r="M9" s="96">
        <f>Assumptions!I63</f>
        <v>0.11</v>
      </c>
    </row>
    <row r="10" spans="2:20" ht="15" customHeight="1" x14ac:dyDescent="0.3">
      <c r="B10" s="43" t="s">
        <v>96</v>
      </c>
      <c r="C10" s="92">
        <f>'Data Sheet'!H27</f>
        <v>235.03999999999996</v>
      </c>
      <c r="D10" s="92">
        <f>'Data Sheet'!I27</f>
        <v>480.34000000000003</v>
      </c>
      <c r="E10" s="92">
        <f>'Data Sheet'!J27</f>
        <v>657.80000000000007</v>
      </c>
      <c r="F10" s="92">
        <f>'Data Sheet'!K27</f>
        <v>658.09</v>
      </c>
      <c r="G10" s="92">
        <f>'Data Sheet'!L27</f>
        <v>642.61</v>
      </c>
      <c r="H10" s="92">
        <f>H8*Assumptions!D65</f>
        <v>646.65427200000011</v>
      </c>
      <c r="I10" s="92">
        <f>I8*Assumptions!E65</f>
        <v>724.25278464000019</v>
      </c>
      <c r="J10" s="92">
        <f>J8*Assumptions!F65</f>
        <v>823.83754252800031</v>
      </c>
      <c r="K10" s="92">
        <f>K8*Assumptions!G65</f>
        <v>932.83758661632044</v>
      </c>
      <c r="L10" s="92">
        <f>L8*Assumptions!H65</f>
        <v>1049.3206104755411</v>
      </c>
      <c r="M10" s="92">
        <f>M8*Assumptions!I65</f>
        <v>1172.3091625475122</v>
      </c>
    </row>
    <row r="11" spans="2:20" ht="15" customHeight="1" x14ac:dyDescent="0.3">
      <c r="B11" s="107" t="s">
        <v>173</v>
      </c>
      <c r="C11" s="96">
        <f>C10/C8</f>
        <v>0.43332534429674963</v>
      </c>
      <c r="D11" s="96">
        <f t="shared" ref="D11:G11" si="1">D10/D8</f>
        <v>0.4761734820322181</v>
      </c>
      <c r="E11" s="96">
        <f t="shared" si="1"/>
        <v>0.49609339648254852</v>
      </c>
      <c r="F11" s="96">
        <f t="shared" si="1"/>
        <v>0.48122527476545307</v>
      </c>
      <c r="G11" s="96">
        <f t="shared" si="1"/>
        <v>0.46348306502798453</v>
      </c>
      <c r="H11" s="96">
        <f>IFERROR(H10/H8,"")</f>
        <v>0.44</v>
      </c>
      <c r="I11" s="96">
        <f t="shared" ref="I11:M11" si="2">IFERROR(I10/I8,"")</f>
        <v>0.44800000000000001</v>
      </c>
      <c r="J11" s="96">
        <f t="shared" si="2"/>
        <v>0.45500000000000002</v>
      </c>
      <c r="K11" s="96">
        <f t="shared" si="2"/>
        <v>0.46</v>
      </c>
      <c r="L11" s="96">
        <f t="shared" si="2"/>
        <v>0.46200000000000002</v>
      </c>
      <c r="M11" s="96">
        <f t="shared" si="2"/>
        <v>0.46500000000000002</v>
      </c>
    </row>
    <row r="12" spans="2:20" ht="15" customHeight="1" x14ac:dyDescent="0.3">
      <c r="B12" s="35" t="s">
        <v>174</v>
      </c>
      <c r="C12" s="83">
        <f>'Data Sheet'!H29</f>
        <v>89.05</v>
      </c>
      <c r="D12" s="83">
        <f>'Data Sheet'!I29</f>
        <v>88.03</v>
      </c>
      <c r="E12" s="83">
        <f>'Data Sheet'!J29</f>
        <v>97.46</v>
      </c>
      <c r="F12" s="83">
        <f>'Data Sheet'!K29</f>
        <v>134.85</v>
      </c>
      <c r="G12" s="83">
        <f>'Data Sheet'!L29</f>
        <v>153.06</v>
      </c>
      <c r="H12" s="83">
        <f>H8*Assumptions!D67</f>
        <v>161.66356800000003</v>
      </c>
      <c r="I12" s="83">
        <f>I8*Assumptions!E67</f>
        <v>174.59665344000004</v>
      </c>
      <c r="J12" s="83">
        <f>J8*Assumptions!F67</f>
        <v>190.11635596800005</v>
      </c>
      <c r="K12" s="83">
        <f>K8*Assumptions!G67</f>
        <v>208.87450309017606</v>
      </c>
      <c r="L12" s="83">
        <f>L8*Assumptions!H67</f>
        <v>227.12567326310415</v>
      </c>
      <c r="M12" s="83">
        <f>M8*Assumptions!I67</f>
        <v>247.06730737560471</v>
      </c>
    </row>
    <row r="13" spans="2:20" ht="15" customHeight="1" x14ac:dyDescent="0.3">
      <c r="B13" s="43" t="s">
        <v>175</v>
      </c>
      <c r="C13" s="92">
        <f>C10-C12</f>
        <v>145.98999999999995</v>
      </c>
      <c r="D13" s="92">
        <f t="shared" ref="D13:M13" si="3">D10-D12</f>
        <v>392.31000000000006</v>
      </c>
      <c r="E13" s="92">
        <f t="shared" si="3"/>
        <v>560.34</v>
      </c>
      <c r="F13" s="92">
        <f t="shared" si="3"/>
        <v>523.24</v>
      </c>
      <c r="G13" s="92">
        <f>G10-G12</f>
        <v>489.55</v>
      </c>
      <c r="H13" s="92">
        <f t="shared" si="3"/>
        <v>484.99070400000005</v>
      </c>
      <c r="I13" s="92">
        <f t="shared" si="3"/>
        <v>549.65613120000012</v>
      </c>
      <c r="J13" s="92">
        <f t="shared" si="3"/>
        <v>633.72118656000021</v>
      </c>
      <c r="K13" s="92">
        <f t="shared" si="3"/>
        <v>723.96308352614437</v>
      </c>
      <c r="L13" s="92">
        <f t="shared" si="3"/>
        <v>822.19493721243703</v>
      </c>
      <c r="M13" s="92">
        <f t="shared" si="3"/>
        <v>925.24185517190745</v>
      </c>
    </row>
    <row r="14" spans="2:20" ht="15" customHeight="1" x14ac:dyDescent="0.3">
      <c r="B14" s="35" t="s">
        <v>176</v>
      </c>
      <c r="C14" s="83">
        <f>'Data Sheet'!H30</f>
        <v>25.07</v>
      </c>
      <c r="D14" s="83">
        <f>'Data Sheet'!I30</f>
        <v>27.07</v>
      </c>
      <c r="E14" s="83">
        <f>'Data Sheet'!J30</f>
        <v>30.35</v>
      </c>
      <c r="F14" s="83">
        <f>'Data Sheet'!K30</f>
        <v>44.5</v>
      </c>
      <c r="G14" s="83">
        <f>'Data Sheet'!L30</f>
        <v>55.21</v>
      </c>
      <c r="H14" s="83">
        <f>'Debt Schedule'!C26</f>
        <v>282.10000000000002</v>
      </c>
      <c r="I14" s="83">
        <f>'Debt Schedule'!D26</f>
        <v>244.29999999999998</v>
      </c>
      <c r="J14" s="83">
        <f>'Debt Schedule'!E26</f>
        <v>206.5</v>
      </c>
      <c r="K14" s="83">
        <f>'Debt Schedule'!F26</f>
        <v>168.7</v>
      </c>
      <c r="L14" s="83">
        <f>'Debt Schedule'!G26</f>
        <v>116.9</v>
      </c>
      <c r="M14" s="83">
        <f>'Debt Schedule'!H26</f>
        <v>42</v>
      </c>
    </row>
    <row r="15" spans="2:20" ht="15" customHeight="1" x14ac:dyDescent="0.3">
      <c r="B15" s="43" t="s">
        <v>177</v>
      </c>
      <c r="C15" s="92">
        <f>C13-C14</f>
        <v>120.91999999999996</v>
      </c>
      <c r="D15" s="92">
        <f t="shared" ref="D15:M15" si="4">D13-D14</f>
        <v>365.24000000000007</v>
      </c>
      <c r="E15" s="92">
        <f t="shared" si="4"/>
        <v>529.99</v>
      </c>
      <c r="F15" s="92">
        <f t="shared" si="4"/>
        <v>478.74</v>
      </c>
      <c r="G15" s="92">
        <f t="shared" si="4"/>
        <v>434.34000000000003</v>
      </c>
      <c r="H15" s="92">
        <f t="shared" si="4"/>
        <v>202.89070400000003</v>
      </c>
      <c r="I15" s="92">
        <f t="shared" si="4"/>
        <v>305.35613120000016</v>
      </c>
      <c r="J15" s="92">
        <f t="shared" si="4"/>
        <v>427.22118656000021</v>
      </c>
      <c r="K15" s="92">
        <f t="shared" si="4"/>
        <v>555.26308352614433</v>
      </c>
      <c r="L15" s="92">
        <f t="shared" si="4"/>
        <v>705.29493721243705</v>
      </c>
      <c r="M15" s="92">
        <f t="shared" si="4"/>
        <v>883.24185517190745</v>
      </c>
    </row>
    <row r="16" spans="2:20" ht="15" customHeight="1" x14ac:dyDescent="0.3">
      <c r="B16" s="35" t="s">
        <v>178</v>
      </c>
      <c r="C16" s="83">
        <f>'Data Sheet'!H32</f>
        <v>47.74</v>
      </c>
      <c r="D16" s="83">
        <f>'Data Sheet'!I32</f>
        <v>105.41</v>
      </c>
      <c r="E16" s="83">
        <f>'Data Sheet'!J32</f>
        <v>144.13999999999999</v>
      </c>
      <c r="F16" s="83">
        <f>'Data Sheet'!K32</f>
        <v>134.22999999999999</v>
      </c>
      <c r="G16" s="83">
        <f>'Data Sheet'!L32</f>
        <v>131.03</v>
      </c>
      <c r="H16" s="83">
        <f>MAX(0,H15*Assumptions!D73)</f>
        <v>51.12845740800001</v>
      </c>
      <c r="I16" s="83">
        <f>MAX(0,I15*Assumptions!E73)</f>
        <v>76.949745062400041</v>
      </c>
      <c r="J16" s="83">
        <f>MAX(0,J15*Assumptions!F73)</f>
        <v>107.65973901312005</v>
      </c>
      <c r="K16" s="83">
        <f>MAX(0,K15*Assumptions!G73)</f>
        <v>139.92629704858837</v>
      </c>
      <c r="L16" s="83">
        <f>MAX(0,L15*Assumptions!H73)</f>
        <v>177.73432417753415</v>
      </c>
      <c r="M16" s="83">
        <f>MAX(0,M15*Assumptions!I73)</f>
        <v>222.57694750332067</v>
      </c>
    </row>
    <row r="17" spans="2:13" ht="15" customHeight="1" x14ac:dyDescent="0.3">
      <c r="B17" s="43" t="s">
        <v>64</v>
      </c>
      <c r="C17" s="92">
        <f>C15-C16</f>
        <v>73.17999999999995</v>
      </c>
      <c r="D17" s="92">
        <f t="shared" ref="D17:M17" si="5">D15-D16</f>
        <v>259.83000000000004</v>
      </c>
      <c r="E17" s="92">
        <f t="shared" si="5"/>
        <v>385.85</v>
      </c>
      <c r="F17" s="92">
        <f t="shared" si="5"/>
        <v>344.51</v>
      </c>
      <c r="G17" s="92">
        <f t="shared" si="5"/>
        <v>303.31000000000006</v>
      </c>
      <c r="H17" s="92">
        <f t="shared" si="5"/>
        <v>151.76224659200003</v>
      </c>
      <c r="I17" s="92">
        <f t="shared" si="5"/>
        <v>228.40638613760012</v>
      </c>
      <c r="J17" s="92">
        <f t="shared" si="5"/>
        <v>319.56144754688017</v>
      </c>
      <c r="K17" s="92">
        <f t="shared" si="5"/>
        <v>415.33678647755596</v>
      </c>
      <c r="L17" s="92">
        <f t="shared" si="5"/>
        <v>527.56061303490287</v>
      </c>
      <c r="M17" s="92">
        <f t="shared" si="5"/>
        <v>660.66490766858681</v>
      </c>
    </row>
    <row r="18" spans="2:13" ht="15" customHeight="1" x14ac:dyDescent="0.3">
      <c r="B18" s="107" t="s">
        <v>179</v>
      </c>
      <c r="C18" s="96">
        <f>IFERROR(C17/C8,"")</f>
        <v>0.13491639165944572</v>
      </c>
      <c r="D18" s="96">
        <f t="shared" ref="D18:M18" si="6">IFERROR(D17/D8,"")</f>
        <v>0.25757620817843868</v>
      </c>
      <c r="E18" s="96">
        <f t="shared" si="6"/>
        <v>0.2909967118163444</v>
      </c>
      <c r="F18" s="96">
        <f t="shared" si="6"/>
        <v>0.25192134724649551</v>
      </c>
      <c r="G18" s="96">
        <f t="shared" si="6"/>
        <v>0.21876262189140849</v>
      </c>
      <c r="H18" s="96">
        <f t="shared" si="6"/>
        <v>0.10326288929315232</v>
      </c>
      <c r="I18" s="96">
        <f t="shared" si="6"/>
        <v>0.14128500871488875</v>
      </c>
      <c r="J18" s="96">
        <f t="shared" si="6"/>
        <v>0.17649166386331402</v>
      </c>
      <c r="K18" s="96">
        <f t="shared" si="6"/>
        <v>0.20481048847172723</v>
      </c>
      <c r="L18" s="96">
        <f t="shared" si="6"/>
        <v>0.23227696167300849</v>
      </c>
      <c r="M18" s="96">
        <f t="shared" si="6"/>
        <v>0.26205474791163896</v>
      </c>
    </row>
    <row r="20" spans="2:13" ht="21.75" customHeight="1" x14ac:dyDescent="0.3">
      <c r="B20" s="30" t="s">
        <v>180</v>
      </c>
      <c r="C20" s="30"/>
      <c r="D20" s="30"/>
      <c r="E20" s="30"/>
      <c r="F20" s="30"/>
      <c r="G20" s="30"/>
      <c r="H20" s="30"/>
      <c r="I20" s="30"/>
      <c r="J20" s="30"/>
      <c r="K20" s="30"/>
      <c r="L20" s="30"/>
      <c r="M20" s="30"/>
    </row>
    <row r="21" spans="2:13" ht="15" customHeight="1" x14ac:dyDescent="0.3">
      <c r="B21" s="43" t="s">
        <v>96</v>
      </c>
      <c r="C21" s="92">
        <f>C10</f>
        <v>235.03999999999996</v>
      </c>
      <c r="D21" s="92">
        <f t="shared" ref="D21:M21" si="7">D10</f>
        <v>480.34000000000003</v>
      </c>
      <c r="E21" s="92">
        <f t="shared" si="7"/>
        <v>657.80000000000007</v>
      </c>
      <c r="F21" s="92">
        <f t="shared" si="7"/>
        <v>658.09</v>
      </c>
      <c r="G21" s="92">
        <f t="shared" si="7"/>
        <v>642.61</v>
      </c>
      <c r="H21" s="92">
        <f t="shared" si="7"/>
        <v>646.65427200000011</v>
      </c>
      <c r="I21" s="92">
        <f t="shared" si="7"/>
        <v>724.25278464000019</v>
      </c>
      <c r="J21" s="92">
        <f t="shared" si="7"/>
        <v>823.83754252800031</v>
      </c>
      <c r="K21" s="92">
        <f t="shared" si="7"/>
        <v>932.83758661632044</v>
      </c>
      <c r="L21" s="92">
        <f t="shared" si="7"/>
        <v>1049.3206104755411</v>
      </c>
      <c r="M21" s="92">
        <f t="shared" si="7"/>
        <v>1172.3091625475122</v>
      </c>
    </row>
    <row r="22" spans="2:13" ht="15" customHeight="1" x14ac:dyDescent="0.3">
      <c r="B22" s="35" t="s">
        <v>181</v>
      </c>
      <c r="C22" s="83">
        <f t="shared" ref="C22:M22" si="8">C14</f>
        <v>25.07</v>
      </c>
      <c r="D22" s="83">
        <f t="shared" si="8"/>
        <v>27.07</v>
      </c>
      <c r="E22" s="83">
        <f t="shared" si="8"/>
        <v>30.35</v>
      </c>
      <c r="F22" s="83">
        <f t="shared" si="8"/>
        <v>44.5</v>
      </c>
      <c r="G22" s="83">
        <f t="shared" si="8"/>
        <v>55.21</v>
      </c>
      <c r="H22" s="83">
        <f t="shared" si="8"/>
        <v>282.10000000000002</v>
      </c>
      <c r="I22" s="83">
        <f t="shared" si="8"/>
        <v>244.29999999999998</v>
      </c>
      <c r="J22" s="83">
        <f t="shared" si="8"/>
        <v>206.5</v>
      </c>
      <c r="K22" s="83">
        <f t="shared" si="8"/>
        <v>168.7</v>
      </c>
      <c r="L22" s="83">
        <f t="shared" si="8"/>
        <v>116.9</v>
      </c>
      <c r="M22" s="83">
        <f t="shared" si="8"/>
        <v>42</v>
      </c>
    </row>
    <row r="23" spans="2:13" ht="15" customHeight="1" x14ac:dyDescent="0.3">
      <c r="B23" s="35" t="s">
        <v>182</v>
      </c>
      <c r="C23" s="83">
        <f t="shared" ref="C23:L23" si="9">C16</f>
        <v>47.74</v>
      </c>
      <c r="D23" s="83">
        <f t="shared" si="9"/>
        <v>105.41</v>
      </c>
      <c r="E23" s="83">
        <f t="shared" si="9"/>
        <v>144.13999999999999</v>
      </c>
      <c r="F23" s="83">
        <f t="shared" si="9"/>
        <v>134.22999999999999</v>
      </c>
      <c r="G23" s="83">
        <f t="shared" si="9"/>
        <v>131.03</v>
      </c>
      <c r="H23" s="83">
        <f>H16</f>
        <v>51.12845740800001</v>
      </c>
      <c r="I23" s="83">
        <f t="shared" si="9"/>
        <v>76.949745062400041</v>
      </c>
      <c r="J23" s="83">
        <f t="shared" si="9"/>
        <v>107.65973901312005</v>
      </c>
      <c r="K23" s="83">
        <f t="shared" si="9"/>
        <v>139.92629704858837</v>
      </c>
      <c r="L23" s="83">
        <f t="shared" si="9"/>
        <v>177.73432417753415</v>
      </c>
      <c r="M23" s="83">
        <f>M16</f>
        <v>222.57694750332067</v>
      </c>
    </row>
    <row r="24" spans="2:13" ht="15" customHeight="1" x14ac:dyDescent="0.3">
      <c r="B24" s="35" t="s">
        <v>183</v>
      </c>
      <c r="C24" s="57">
        <v>23</v>
      </c>
      <c r="D24" s="57">
        <v>111</v>
      </c>
      <c r="E24" s="57">
        <v>104</v>
      </c>
      <c r="F24" s="57">
        <v>256</v>
      </c>
      <c r="G24" s="83">
        <f>Assumptions!D16</f>
        <v>114</v>
      </c>
      <c r="H24" s="83">
        <f>H8*Assumptions!D69</f>
        <v>124.92184800000003</v>
      </c>
      <c r="I24" s="83">
        <f>I8*Assumptions!E69</f>
        <v>129.33085440000002</v>
      </c>
      <c r="J24" s="83">
        <f>J8*Assumptions!F69</f>
        <v>135.79739712000003</v>
      </c>
      <c r="K24" s="83">
        <f>K8*Assumptions!G69</f>
        <v>141.95354578944008</v>
      </c>
      <c r="L24" s="83">
        <f>L8*Assumptions!H69</f>
        <v>147.6316876210177</v>
      </c>
      <c r="M24" s="83">
        <f>M8*Assumptions!I69</f>
        <v>151.26569839322738</v>
      </c>
    </row>
    <row r="25" spans="2:13" ht="15" customHeight="1" x14ac:dyDescent="0.3">
      <c r="B25" s="35" t="s">
        <v>184</v>
      </c>
      <c r="C25" s="57">
        <v>-39</v>
      </c>
      <c r="D25" s="57">
        <v>51</v>
      </c>
      <c r="E25" s="57">
        <v>93</v>
      </c>
      <c r="F25" s="57">
        <v>53</v>
      </c>
      <c r="G25" s="83">
        <f>Assumptions!D17</f>
        <v>104</v>
      </c>
      <c r="H25" s="83">
        <f>H8*Assumptions!D71</f>
        <v>80.831784000000013</v>
      </c>
      <c r="I25" s="83">
        <f>I8*Assumptions!E71</f>
        <v>72.748605600000005</v>
      </c>
      <c r="J25" s="83">
        <f>J8*Assumptions!F71</f>
        <v>63.372118656000026</v>
      </c>
      <c r="K25" s="83">
        <f>K8*Assumptions!G71</f>
        <v>60.837233909760023</v>
      </c>
      <c r="L25" s="83">
        <f>L8*Assumptions!H71</f>
        <v>63.595188513669157</v>
      </c>
      <c r="M25" s="83">
        <f>M8*Assumptions!I71</f>
        <v>63.027374330511407</v>
      </c>
    </row>
    <row r="26" spans="2:13" ht="15" customHeight="1" x14ac:dyDescent="0.3">
      <c r="B26" s="35" t="s">
        <v>185</v>
      </c>
      <c r="C26" s="57">
        <v>0</v>
      </c>
      <c r="D26" s="57">
        <v>0</v>
      </c>
      <c r="E26" s="57">
        <v>0</v>
      </c>
      <c r="F26" s="57">
        <v>0</v>
      </c>
      <c r="G26" s="57">
        <v>0</v>
      </c>
      <c r="H26" s="83">
        <f>'Debt Schedule'!C29</f>
        <v>360</v>
      </c>
      <c r="I26" s="83">
        <f>'Debt Schedule'!D29</f>
        <v>360</v>
      </c>
      <c r="J26" s="83">
        <f>'Debt Schedule'!E29</f>
        <v>360</v>
      </c>
      <c r="K26" s="83">
        <f>'Debt Schedule'!F29</f>
        <v>360</v>
      </c>
      <c r="L26" s="83">
        <f>'Debt Schedule'!G29</f>
        <v>560</v>
      </c>
      <c r="M26" s="83">
        <f>'Debt Schedule'!H29</f>
        <v>700</v>
      </c>
    </row>
    <row r="27" spans="2:13" ht="15" customHeight="1" x14ac:dyDescent="0.3">
      <c r="B27" s="60" t="s">
        <v>186</v>
      </c>
      <c r="C27" s="109">
        <f t="shared" ref="C27:L27" si="10">C21-C22-C23-C24-C25-C26</f>
        <v>178.22999999999996</v>
      </c>
      <c r="D27" s="109">
        <f t="shared" si="10"/>
        <v>185.86</v>
      </c>
      <c r="E27" s="109">
        <f t="shared" si="10"/>
        <v>286.31000000000006</v>
      </c>
      <c r="F27" s="109">
        <f t="shared" si="10"/>
        <v>170.36</v>
      </c>
      <c r="G27" s="109">
        <f t="shared" si="10"/>
        <v>238.37</v>
      </c>
      <c r="H27" s="109">
        <f>H21-H22-H23-H24-H25-H26</f>
        <v>-252.32781740799999</v>
      </c>
      <c r="I27" s="109">
        <f>I21-I22-I23-I24-I25-I26</f>
        <v>-159.07642042239985</v>
      </c>
      <c r="J27" s="109">
        <f>J21-J22-J23-J24-J25-J26</f>
        <v>-49.491712261119801</v>
      </c>
      <c r="K27" s="109">
        <f>K21-K22-K23-K24-K25-K26</f>
        <v>61.420509868532008</v>
      </c>
      <c r="L27" s="109">
        <f t="shared" si="10"/>
        <v>-16.540589836679942</v>
      </c>
      <c r="M27" s="109">
        <f>M21-M22-M23-M24-M25-M26</f>
        <v>-6.5608576795472118</v>
      </c>
    </row>
    <row r="29" spans="2:13" ht="21.75" customHeight="1" x14ac:dyDescent="0.3">
      <c r="B29" s="30" t="s">
        <v>187</v>
      </c>
      <c r="C29" s="30"/>
      <c r="D29" s="30"/>
      <c r="E29" s="30"/>
      <c r="F29" s="30"/>
      <c r="G29" s="30"/>
      <c r="H29" s="30"/>
      <c r="I29" s="30"/>
      <c r="J29" s="30"/>
      <c r="K29" s="30"/>
      <c r="L29" s="30"/>
      <c r="M29" s="30"/>
    </row>
    <row r="30" spans="2:13" ht="15" customHeight="1" x14ac:dyDescent="0.3">
      <c r="B30" s="33" t="s">
        <v>188</v>
      </c>
      <c r="C30" s="79" t="s">
        <v>166</v>
      </c>
      <c r="D30" s="79" t="s">
        <v>167</v>
      </c>
      <c r="E30" s="79" t="s">
        <v>168</v>
      </c>
      <c r="F30" s="79" t="s">
        <v>169</v>
      </c>
      <c r="G30" s="79" t="s">
        <v>170</v>
      </c>
      <c r="H30" s="105" t="s">
        <v>145</v>
      </c>
      <c r="I30" s="105" t="s">
        <v>146</v>
      </c>
      <c r="J30" s="105" t="s">
        <v>147</v>
      </c>
      <c r="K30" s="105" t="s">
        <v>148</v>
      </c>
      <c r="L30" s="105" t="s">
        <v>149</v>
      </c>
      <c r="M30" s="105" t="s">
        <v>150</v>
      </c>
    </row>
    <row r="31" spans="2:13" ht="15" customHeight="1" x14ac:dyDescent="0.3">
      <c r="B31" s="108" t="s">
        <v>97</v>
      </c>
      <c r="C31" s="96">
        <f t="shared" ref="C31:M31" si="11">IFERROR(C10/C8,"")</f>
        <v>0.43332534429674963</v>
      </c>
      <c r="D31" s="96">
        <f t="shared" si="11"/>
        <v>0.4761734820322181</v>
      </c>
      <c r="E31" s="96">
        <f t="shared" si="11"/>
        <v>0.49609339648254852</v>
      </c>
      <c r="F31" s="96">
        <f t="shared" si="11"/>
        <v>0.48122527476545307</v>
      </c>
      <c r="G31" s="96">
        <f t="shared" si="11"/>
        <v>0.46348306502798453</v>
      </c>
      <c r="H31" s="96">
        <f t="shared" si="11"/>
        <v>0.44</v>
      </c>
      <c r="I31" s="96">
        <f t="shared" si="11"/>
        <v>0.44800000000000001</v>
      </c>
      <c r="J31" s="96">
        <f t="shared" si="11"/>
        <v>0.45500000000000002</v>
      </c>
      <c r="K31" s="96">
        <f t="shared" si="11"/>
        <v>0.46</v>
      </c>
      <c r="L31" s="96">
        <f t="shared" si="11"/>
        <v>0.46200000000000002</v>
      </c>
      <c r="M31" s="96">
        <f t="shared" si="11"/>
        <v>0.46500000000000002</v>
      </c>
    </row>
    <row r="32" spans="2:13" ht="15" customHeight="1" x14ac:dyDescent="0.3">
      <c r="B32" s="108" t="s">
        <v>189</v>
      </c>
      <c r="C32" s="96">
        <f t="shared" ref="C32:M32" si="12">IFERROR(C17/C8,"")</f>
        <v>0.13491639165944572</v>
      </c>
      <c r="D32" s="96">
        <f t="shared" si="12"/>
        <v>0.25757620817843868</v>
      </c>
      <c r="E32" s="96">
        <f t="shared" si="12"/>
        <v>0.2909967118163444</v>
      </c>
      <c r="F32" s="96">
        <f t="shared" si="12"/>
        <v>0.25192134724649551</v>
      </c>
      <c r="G32" s="96">
        <f t="shared" si="12"/>
        <v>0.21876262189140849</v>
      </c>
      <c r="H32" s="96">
        <f t="shared" si="12"/>
        <v>0.10326288929315232</v>
      </c>
      <c r="I32" s="96">
        <f t="shared" si="12"/>
        <v>0.14128500871488875</v>
      </c>
      <c r="J32" s="96">
        <f t="shared" si="12"/>
        <v>0.17649166386331402</v>
      </c>
      <c r="K32" s="96">
        <f t="shared" si="12"/>
        <v>0.20481048847172723</v>
      </c>
      <c r="L32" s="96">
        <f t="shared" si="12"/>
        <v>0.23227696167300849</v>
      </c>
      <c r="M32" s="96">
        <f t="shared" si="12"/>
        <v>0.26205474791163896</v>
      </c>
    </row>
    <row r="33" spans="2:13" ht="15" customHeight="1" x14ac:dyDescent="0.3">
      <c r="B33" s="108" t="s">
        <v>190</v>
      </c>
      <c r="C33" s="96">
        <f>IFERROR(C24/C8,"")</f>
        <v>4.2403348020869827E-2</v>
      </c>
      <c r="D33" s="96">
        <f t="shared" ref="D33:M33" si="13">IFERROR(D24/D8,"")</f>
        <v>0.1100371747211896</v>
      </c>
      <c r="E33" s="96">
        <f t="shared" si="13"/>
        <v>7.8433738574315959E-2</v>
      </c>
      <c r="F33" s="96">
        <f t="shared" si="13"/>
        <v>0.18719881830745944</v>
      </c>
      <c r="G33" s="96">
        <f t="shared" si="13"/>
        <v>8.2222606889388955E-2</v>
      </c>
      <c r="H33" s="96">
        <f t="shared" si="13"/>
        <v>8.5000000000000006E-2</v>
      </c>
      <c r="I33" s="96">
        <f t="shared" si="13"/>
        <v>0.08</v>
      </c>
      <c r="J33" s="96">
        <f t="shared" si="13"/>
        <v>7.4999999999999997E-2</v>
      </c>
      <c r="K33" s="96">
        <f t="shared" si="13"/>
        <v>7.0000000000000007E-2</v>
      </c>
      <c r="L33" s="96">
        <f t="shared" si="13"/>
        <v>6.5000000000000002E-2</v>
      </c>
      <c r="M33" s="96">
        <f t="shared" si="13"/>
        <v>6.0000000000000005E-2</v>
      </c>
    </row>
    <row r="34" spans="2:13" ht="15" customHeight="1" x14ac:dyDescent="0.3">
      <c r="B34" s="108" t="s">
        <v>191</v>
      </c>
      <c r="C34" s="96">
        <f t="shared" ref="C34:M34" si="14">IFERROR(C27/C10,"")</f>
        <v>0.75829646017699115</v>
      </c>
      <c r="D34" s="96">
        <f t="shared" si="14"/>
        <v>0.38693425490277722</v>
      </c>
      <c r="E34" s="96">
        <f t="shared" si="14"/>
        <v>0.43525387655822445</v>
      </c>
      <c r="F34" s="96">
        <f t="shared" si="14"/>
        <v>0.2588703672749928</v>
      </c>
      <c r="G34" s="96">
        <f t="shared" si="14"/>
        <v>0.37094038374752958</v>
      </c>
      <c r="H34" s="96">
        <f t="shared" si="14"/>
        <v>-0.39020513485140934</v>
      </c>
      <c r="I34" s="96">
        <f t="shared" si="14"/>
        <v>-0.21964212467815497</v>
      </c>
      <c r="J34" s="96">
        <f t="shared" si="14"/>
        <v>-6.0074601734282695E-2</v>
      </c>
      <c r="K34" s="96">
        <f t="shared" si="14"/>
        <v>6.5842661948606163E-2</v>
      </c>
      <c r="L34" s="96">
        <f t="shared" si="14"/>
        <v>-1.5763142047866496E-2</v>
      </c>
      <c r="M34" s="96">
        <f t="shared" si="14"/>
        <v>-5.5965251225111945E-3</v>
      </c>
    </row>
  </sheetData>
  <sheetProtection algorithmName="SHA-512" hashValue="lZoYesOiX4l4ZdhNP1rNz/XvHFTqZUqJzEPd18/XYeL2BTWF6xhmbL+5O3COpfPi53J8vpHlInGX2hiLsKraRw==" saltValue="S1kGddJHXTY/DQJldW8Nag==" spinCount="100000" sheet="1" objects="1" scenarios="1"/>
  <pageMargins left="0.75" right="0.75" top="1.1299999999999999" bottom="1.58" header="0.511811023622047" footer="0.511811023622047"/>
  <pageSetup paperSize="9" scale="71" fitToHeight="0" orientation="landscape" horizontalDpi="300" verticalDpi="300" r:id="rId1"/>
  <colBreaks count="1" manualBreakCount="1">
    <brk id="1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2:I29"/>
  <sheetViews>
    <sheetView showGridLines="0" zoomScaleNormal="100" workbookViewId="0">
      <selection activeCell="B21" sqref="B21"/>
    </sheetView>
  </sheetViews>
  <sheetFormatPr defaultColWidth="8.6640625" defaultRowHeight="14.4" x14ac:dyDescent="0.3"/>
  <cols>
    <col min="1" max="1" width="2.33203125" style="2" customWidth="1"/>
    <col min="2" max="2" width="71.21875" style="2" bestFit="1" customWidth="1"/>
    <col min="3" max="9" width="14" style="2" customWidth="1"/>
    <col min="10" max="16384" width="8.6640625" style="2"/>
  </cols>
  <sheetData>
    <row r="2" spans="2:8" ht="3" customHeight="1" x14ac:dyDescent="0.3">
      <c r="B2" s="3"/>
      <c r="C2" s="3"/>
      <c r="D2" s="3"/>
      <c r="E2" s="3"/>
      <c r="F2" s="3"/>
      <c r="G2" s="3"/>
      <c r="H2" s="3"/>
    </row>
    <row r="3" spans="2:8" ht="27.75" customHeight="1" x14ac:dyDescent="0.3">
      <c r="B3" s="54" t="s">
        <v>192</v>
      </c>
      <c r="C3" s="1"/>
      <c r="D3" s="1"/>
      <c r="E3" s="1"/>
      <c r="F3" s="1"/>
      <c r="G3" s="1"/>
      <c r="H3" s="1"/>
    </row>
    <row r="4" spans="2:8" ht="3" customHeight="1" x14ac:dyDescent="0.3">
      <c r="B4" s="3"/>
      <c r="C4" s="3"/>
      <c r="D4" s="3"/>
      <c r="E4" s="3"/>
      <c r="F4" s="3"/>
      <c r="G4" s="3"/>
      <c r="H4" s="3"/>
    </row>
    <row r="6" spans="2:8" ht="19.5" customHeight="1" x14ac:dyDescent="0.3">
      <c r="B6" s="55" t="s">
        <v>193</v>
      </c>
      <c r="C6" s="105" t="s">
        <v>145</v>
      </c>
      <c r="D6" s="105" t="s">
        <v>146</v>
      </c>
      <c r="E6" s="105" t="s">
        <v>147</v>
      </c>
      <c r="F6" s="105" t="s">
        <v>148</v>
      </c>
      <c r="G6" s="105" t="s">
        <v>149</v>
      </c>
      <c r="H6" s="105" t="s">
        <v>150</v>
      </c>
    </row>
    <row r="7" spans="2:8" ht="21.75" customHeight="1" x14ac:dyDescent="0.3">
      <c r="B7" s="30" t="s">
        <v>194</v>
      </c>
      <c r="C7" s="30"/>
      <c r="D7" s="30"/>
      <c r="E7" s="30"/>
      <c r="F7" s="30"/>
      <c r="G7" s="30"/>
      <c r="H7" s="30"/>
    </row>
    <row r="8" spans="2:8" ht="15" customHeight="1" x14ac:dyDescent="0.3">
      <c r="B8" s="35" t="s">
        <v>195</v>
      </c>
      <c r="C8" s="83">
        <f>Assumptions!E39</f>
        <v>1800</v>
      </c>
      <c r="D8" s="84">
        <f>MAX(0,C11)</f>
        <v>1440</v>
      </c>
      <c r="E8" s="84">
        <f>MAX(0,D11)</f>
        <v>1080</v>
      </c>
      <c r="F8" s="84">
        <f>MAX(0,E11)</f>
        <v>720</v>
      </c>
      <c r="G8" s="84">
        <f>MAX(0,F11)</f>
        <v>360</v>
      </c>
      <c r="H8" s="84">
        <f>MAX(0,G11)</f>
        <v>0</v>
      </c>
    </row>
    <row r="9" spans="2:8" ht="15" customHeight="1" x14ac:dyDescent="0.3">
      <c r="B9" s="35" t="s">
        <v>196</v>
      </c>
      <c r="C9" s="84">
        <f>IFERROR($C$8*0.2,0)</f>
        <v>360</v>
      </c>
      <c r="D9" s="84">
        <f t="shared" ref="D9:G9" si="0">IFERROR($C$8*0.2,0)</f>
        <v>360</v>
      </c>
      <c r="E9" s="84">
        <f t="shared" si="0"/>
        <v>360</v>
      </c>
      <c r="F9" s="84">
        <f t="shared" si="0"/>
        <v>360</v>
      </c>
      <c r="G9" s="84">
        <f t="shared" si="0"/>
        <v>360</v>
      </c>
      <c r="H9" s="58">
        <v>0</v>
      </c>
    </row>
    <row r="10" spans="2:8" ht="15" customHeight="1" x14ac:dyDescent="0.3">
      <c r="B10" s="35" t="s">
        <v>198</v>
      </c>
      <c r="C10" s="84">
        <f t="shared" ref="C10:G10" si="1">IFERROR((C8+C11)/2*0.105,0)</f>
        <v>170.1</v>
      </c>
      <c r="D10" s="84">
        <f t="shared" si="1"/>
        <v>132.29999999999998</v>
      </c>
      <c r="E10" s="84">
        <f t="shared" si="1"/>
        <v>94.5</v>
      </c>
      <c r="F10" s="84">
        <f t="shared" si="1"/>
        <v>56.699999999999996</v>
      </c>
      <c r="G10" s="84">
        <f t="shared" si="1"/>
        <v>18.899999999999999</v>
      </c>
      <c r="H10" s="84">
        <f>IFERROR((H8+H11)/2*0.105,0)</f>
        <v>0</v>
      </c>
    </row>
    <row r="11" spans="2:8" ht="15" customHeight="1" x14ac:dyDescent="0.3">
      <c r="B11" s="43" t="s">
        <v>197</v>
      </c>
      <c r="C11" s="85">
        <f>MAX(0,C8-C9)</f>
        <v>1440</v>
      </c>
      <c r="D11" s="85">
        <f t="shared" ref="D11:H11" si="2">MAX(0,D8-D9)</f>
        <v>1080</v>
      </c>
      <c r="E11" s="85">
        <f t="shared" si="2"/>
        <v>720</v>
      </c>
      <c r="F11" s="85">
        <f t="shared" si="2"/>
        <v>360</v>
      </c>
      <c r="G11" s="85">
        <f t="shared" si="2"/>
        <v>0</v>
      </c>
      <c r="H11" s="85">
        <f t="shared" si="2"/>
        <v>0</v>
      </c>
    </row>
    <row r="12" spans="2:8" ht="15" customHeight="1" x14ac:dyDescent="0.3"/>
    <row r="13" spans="2:8" ht="21.75" customHeight="1" x14ac:dyDescent="0.3">
      <c r="B13" s="30" t="s">
        <v>266</v>
      </c>
      <c r="C13" s="30"/>
      <c r="D13" s="30"/>
      <c r="E13" s="30"/>
      <c r="F13" s="30"/>
      <c r="G13" s="30"/>
      <c r="H13" s="30"/>
    </row>
    <row r="14" spans="2:8" ht="15" customHeight="1" x14ac:dyDescent="0.3">
      <c r="B14" s="35" t="s">
        <v>195</v>
      </c>
      <c r="C14" s="83">
        <f>Assumptions!E40</f>
        <v>700</v>
      </c>
      <c r="D14" s="84">
        <f>C14</f>
        <v>700</v>
      </c>
      <c r="E14" s="84">
        <f>D14</f>
        <v>700</v>
      </c>
      <c r="F14" s="84">
        <f>E14</f>
        <v>700</v>
      </c>
      <c r="G14" s="84">
        <f>F14</f>
        <v>700</v>
      </c>
      <c r="H14" s="84">
        <f>G14</f>
        <v>700</v>
      </c>
    </row>
    <row r="15" spans="2:8" ht="15" customHeight="1" x14ac:dyDescent="0.3">
      <c r="B15" s="35" t="s">
        <v>254</v>
      </c>
      <c r="C15" s="57">
        <v>0</v>
      </c>
      <c r="D15" s="57">
        <v>0</v>
      </c>
      <c r="E15" s="57">
        <v>0</v>
      </c>
      <c r="F15" s="57">
        <v>0</v>
      </c>
      <c r="G15" s="57">
        <v>0</v>
      </c>
      <c r="H15" s="57">
        <v>700</v>
      </c>
    </row>
    <row r="16" spans="2:8" ht="15" customHeight="1" x14ac:dyDescent="0.3">
      <c r="B16" s="43" t="s">
        <v>197</v>
      </c>
      <c r="C16" s="85">
        <f t="shared" ref="C16:H16" si="3">C14-C15</f>
        <v>700</v>
      </c>
      <c r="D16" s="85">
        <f t="shared" si="3"/>
        <v>700</v>
      </c>
      <c r="E16" s="85">
        <f t="shared" si="3"/>
        <v>700</v>
      </c>
      <c r="F16" s="85">
        <f t="shared" si="3"/>
        <v>700</v>
      </c>
      <c r="G16" s="85">
        <f t="shared" si="3"/>
        <v>700</v>
      </c>
      <c r="H16" s="85">
        <f t="shared" si="3"/>
        <v>0</v>
      </c>
    </row>
    <row r="17" spans="2:9" ht="15" customHeight="1" x14ac:dyDescent="0.3">
      <c r="B17" s="35" t="s">
        <v>199</v>
      </c>
      <c r="C17" s="84">
        <f t="shared" ref="C17:F17" si="4">(C14+C16)/2*0.12</f>
        <v>84</v>
      </c>
      <c r="D17" s="84">
        <f t="shared" si="4"/>
        <v>84</v>
      </c>
      <c r="E17" s="84">
        <f t="shared" si="4"/>
        <v>84</v>
      </c>
      <c r="F17" s="84">
        <f t="shared" si="4"/>
        <v>84</v>
      </c>
      <c r="G17" s="84">
        <f>(G14+G16)/2*0.12</f>
        <v>84</v>
      </c>
      <c r="H17" s="84">
        <f>(H14+H16)/2*0.12</f>
        <v>42</v>
      </c>
      <c r="I17" s="110"/>
    </row>
    <row r="19" spans="2:9" ht="21.75" customHeight="1" x14ac:dyDescent="0.3">
      <c r="B19" s="30" t="s">
        <v>200</v>
      </c>
      <c r="C19" s="30"/>
      <c r="D19" s="30"/>
      <c r="E19" s="30"/>
      <c r="F19" s="30"/>
      <c r="G19" s="30"/>
      <c r="H19" s="30"/>
    </row>
    <row r="20" spans="2:9" ht="15" customHeight="1" x14ac:dyDescent="0.3">
      <c r="B20" s="35" t="s">
        <v>195</v>
      </c>
      <c r="C20" s="83">
        <f>Assumptions!E41</f>
        <v>200</v>
      </c>
      <c r="D20" s="84">
        <f>C20</f>
        <v>200</v>
      </c>
      <c r="E20" s="84">
        <f>D20</f>
        <v>200</v>
      </c>
      <c r="F20" s="84">
        <f>E20</f>
        <v>200</v>
      </c>
      <c r="G20" s="84">
        <f>F20</f>
        <v>200</v>
      </c>
      <c r="H20" s="84">
        <f>G22</f>
        <v>0</v>
      </c>
    </row>
    <row r="21" spans="2:9" ht="15" customHeight="1" x14ac:dyDescent="0.3">
      <c r="B21" s="35" t="s">
        <v>267</v>
      </c>
      <c r="C21" s="57">
        <v>0</v>
      </c>
      <c r="D21" s="57">
        <v>0</v>
      </c>
      <c r="E21" s="57">
        <v>0</v>
      </c>
      <c r="F21" s="57">
        <v>0</v>
      </c>
      <c r="G21" s="86">
        <f>Assumptions!E41</f>
        <v>200</v>
      </c>
      <c r="H21" s="57">
        <v>0</v>
      </c>
    </row>
    <row r="22" spans="2:9" ht="15" customHeight="1" x14ac:dyDescent="0.3">
      <c r="B22" s="43" t="s">
        <v>197</v>
      </c>
      <c r="C22" s="85">
        <f>MAX(0,C20-C21)</f>
        <v>200</v>
      </c>
      <c r="D22" s="85">
        <f t="shared" ref="D22:H22" si="5">MAX(0,D20-D21)</f>
        <v>200</v>
      </c>
      <c r="E22" s="85">
        <f t="shared" si="5"/>
        <v>200</v>
      </c>
      <c r="F22" s="85">
        <f t="shared" si="5"/>
        <v>200</v>
      </c>
      <c r="G22" s="85">
        <f>MAX(0,G20-G21)</f>
        <v>0</v>
      </c>
      <c r="H22" s="85">
        <f t="shared" si="5"/>
        <v>0</v>
      </c>
    </row>
    <row r="23" spans="2:9" ht="15" customHeight="1" x14ac:dyDescent="0.3">
      <c r="B23" s="35" t="s">
        <v>201</v>
      </c>
      <c r="C23" s="84">
        <f t="shared" ref="C23:H23" si="6">(C20+C22)/2*0.14</f>
        <v>28.000000000000004</v>
      </c>
      <c r="D23" s="84">
        <f t="shared" si="6"/>
        <v>28.000000000000004</v>
      </c>
      <c r="E23" s="84">
        <f t="shared" si="6"/>
        <v>28.000000000000004</v>
      </c>
      <c r="F23" s="84">
        <f t="shared" si="6"/>
        <v>28.000000000000004</v>
      </c>
      <c r="G23" s="84">
        <f>(G20+G22)/2*0.14</f>
        <v>14.000000000000002</v>
      </c>
      <c r="H23" s="84">
        <f t="shared" si="6"/>
        <v>0</v>
      </c>
    </row>
    <row r="25" spans="2:9" ht="21.75" customHeight="1" x14ac:dyDescent="0.3">
      <c r="B25" s="30" t="s">
        <v>202</v>
      </c>
      <c r="C25" s="30"/>
      <c r="D25" s="30"/>
      <c r="E25" s="30"/>
      <c r="F25" s="30"/>
      <c r="G25" s="30"/>
      <c r="H25" s="30"/>
    </row>
    <row r="26" spans="2:9" ht="15" customHeight="1" x14ac:dyDescent="0.3">
      <c r="B26" s="35" t="s">
        <v>203</v>
      </c>
      <c r="C26" s="85">
        <f t="shared" ref="C26:H26" si="7">C10+C17+C23</f>
        <v>282.10000000000002</v>
      </c>
      <c r="D26" s="85">
        <f t="shared" si="7"/>
        <v>244.29999999999998</v>
      </c>
      <c r="E26" s="85">
        <f t="shared" si="7"/>
        <v>206.5</v>
      </c>
      <c r="F26" s="85">
        <f t="shared" si="7"/>
        <v>168.7</v>
      </c>
      <c r="G26" s="85">
        <f t="shared" si="7"/>
        <v>116.9</v>
      </c>
      <c r="H26" s="85">
        <f t="shared" si="7"/>
        <v>42</v>
      </c>
    </row>
    <row r="27" spans="2:9" ht="15" customHeight="1" x14ac:dyDescent="0.3">
      <c r="B27" s="35" t="s">
        <v>204</v>
      </c>
      <c r="C27" s="84">
        <f t="shared" ref="C27:H27" si="8">C11+C16+C22</f>
        <v>2340</v>
      </c>
      <c r="D27" s="84">
        <f t="shared" si="8"/>
        <v>1980</v>
      </c>
      <c r="E27" s="84">
        <f t="shared" si="8"/>
        <v>1620</v>
      </c>
      <c r="F27" s="84">
        <f t="shared" si="8"/>
        <v>1260</v>
      </c>
      <c r="G27" s="84">
        <f t="shared" si="8"/>
        <v>700</v>
      </c>
      <c r="H27" s="84">
        <f t="shared" si="8"/>
        <v>0</v>
      </c>
    </row>
    <row r="28" spans="2:9" ht="15" customHeight="1" x14ac:dyDescent="0.3">
      <c r="B28" s="35" t="s">
        <v>205</v>
      </c>
      <c r="C28" s="87">
        <f>IFERROR(C27/Financials!H10,"")</f>
        <v>3.6186260592739106</v>
      </c>
      <c r="D28" s="87">
        <f>IFERROR(D27/Financials!I10,"")</f>
        <v>2.7338521052206741</v>
      </c>
      <c r="E28" s="87">
        <f>IFERROR(E27/Financials!J10,"")</f>
        <v>1.9664071086502348</v>
      </c>
      <c r="F28" s="87">
        <f>IFERROR(F27/Financials!K10,"")</f>
        <v>1.3507174432908466</v>
      </c>
      <c r="G28" s="87">
        <f>IFERROR(G27/Financials!L10,"")</f>
        <v>0.66709830438074336</v>
      </c>
      <c r="H28" s="87">
        <f>IFERROR(H27/Financials!M10,"")</f>
        <v>0</v>
      </c>
    </row>
    <row r="29" spans="2:9" ht="15" customHeight="1" x14ac:dyDescent="0.3">
      <c r="B29" s="35" t="s">
        <v>206</v>
      </c>
      <c r="C29" s="84">
        <f>C9+C15+C21</f>
        <v>360</v>
      </c>
      <c r="D29" s="84">
        <f t="shared" ref="D29:H29" si="9">D9+D15+D21</f>
        <v>360</v>
      </c>
      <c r="E29" s="84">
        <f t="shared" si="9"/>
        <v>360</v>
      </c>
      <c r="F29" s="84">
        <f t="shared" si="9"/>
        <v>360</v>
      </c>
      <c r="G29" s="84">
        <f t="shared" si="9"/>
        <v>560</v>
      </c>
      <c r="H29" s="84">
        <f t="shared" si="9"/>
        <v>700</v>
      </c>
    </row>
  </sheetData>
  <sheetProtection algorithmName="SHA-512" hashValue="JiB4wASacRvtzaUOklY44Mf+D/jyXll6Qsy6APAwlv4CS6+yEyshllyJRoJ+utQFkvjlu3sJJDkqOFNd/Ldhcw==" saltValue="oAi8us+UN4Zm6/XUKov1dQ==" spinCount="100000" sheet="1" objects="1" scenarios="1"/>
  <pageMargins left="0.75" right="0.75" top="1" bottom="1" header="0.511811023622047" footer="0.511811023622047"/>
  <pageSetup paperSize="9" scale="82" fitToHeight="0" orientation="landscape"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2:D45"/>
  <sheetViews>
    <sheetView showGridLines="0" zoomScale="114" zoomScaleNormal="114" workbookViewId="0">
      <selection activeCell="D49" sqref="D49"/>
    </sheetView>
  </sheetViews>
  <sheetFormatPr defaultColWidth="8.6640625" defaultRowHeight="14.4" x14ac:dyDescent="0.3"/>
  <cols>
    <col min="1" max="1" width="2.33203125" style="2" customWidth="1"/>
    <col min="2" max="2" width="40" style="2" customWidth="1"/>
    <col min="3" max="4" width="20" style="2" customWidth="1"/>
    <col min="5" max="5" width="16.109375" style="2" bestFit="1" customWidth="1"/>
    <col min="6" max="12" width="9.44140625" style="2" bestFit="1" customWidth="1"/>
    <col min="13" max="16384" width="8.6640625" style="2"/>
  </cols>
  <sheetData>
    <row r="2" spans="2:4" ht="3" customHeight="1" x14ac:dyDescent="0.3">
      <c r="B2" s="3"/>
      <c r="C2" s="3"/>
      <c r="D2" s="3"/>
    </row>
    <row r="3" spans="2:4" ht="30" customHeight="1" x14ac:dyDescent="0.3">
      <c r="B3" s="54" t="s">
        <v>207</v>
      </c>
      <c r="C3" s="1"/>
      <c r="D3" s="1"/>
    </row>
    <row r="4" spans="2:4" ht="3.75" customHeight="1" x14ac:dyDescent="0.3">
      <c r="B4" s="3"/>
      <c r="C4" s="3"/>
      <c r="D4" s="3"/>
    </row>
    <row r="6" spans="2:4" ht="21.75" customHeight="1" x14ac:dyDescent="0.3">
      <c r="B6" s="30" t="s">
        <v>208</v>
      </c>
      <c r="C6" s="30"/>
      <c r="D6" s="30"/>
    </row>
    <row r="7" spans="2:4" ht="15" customHeight="1" x14ac:dyDescent="0.3">
      <c r="B7" s="35" t="s">
        <v>209</v>
      </c>
      <c r="D7" s="111" t="s">
        <v>210</v>
      </c>
    </row>
    <row r="8" spans="2:4" ht="15" customHeight="1" x14ac:dyDescent="0.3">
      <c r="B8" s="35" t="s">
        <v>211</v>
      </c>
      <c r="D8" s="111" t="s">
        <v>212</v>
      </c>
    </row>
    <row r="9" spans="2:4" ht="15" customHeight="1" x14ac:dyDescent="0.3">
      <c r="B9" s="35" t="s">
        <v>161</v>
      </c>
      <c r="D9" s="114">
        <f>Assumptions!C77</f>
        <v>6</v>
      </c>
    </row>
    <row r="10" spans="2:4" ht="15" customHeight="1" x14ac:dyDescent="0.3">
      <c r="B10" s="35" t="s">
        <v>213</v>
      </c>
      <c r="D10" s="83">
        <f>Assumptions!D31</f>
        <v>11520.7677</v>
      </c>
    </row>
    <row r="11" spans="2:4" ht="15" customHeight="1" x14ac:dyDescent="0.3">
      <c r="B11" s="35" t="s">
        <v>214</v>
      </c>
      <c r="D11" s="83">
        <f>Assumptions!E43</f>
        <v>9068.4130540000006</v>
      </c>
    </row>
    <row r="12" spans="2:4" ht="15" customHeight="1" x14ac:dyDescent="0.3">
      <c r="B12" s="35" t="s">
        <v>215</v>
      </c>
      <c r="D12" s="83">
        <f>Assumptions!D8</f>
        <v>642.61</v>
      </c>
    </row>
    <row r="13" spans="2:4" ht="15" customHeight="1" x14ac:dyDescent="0.3">
      <c r="B13" s="35" t="s">
        <v>125</v>
      </c>
      <c r="D13" s="94">
        <f>Assumptions!D32</f>
        <v>17.928086553274927</v>
      </c>
    </row>
    <row r="15" spans="2:4" ht="21.75" customHeight="1" x14ac:dyDescent="0.3">
      <c r="B15" s="30" t="s">
        <v>216</v>
      </c>
      <c r="C15" s="30"/>
      <c r="D15" s="30"/>
    </row>
    <row r="16" spans="2:4" ht="15" customHeight="1" x14ac:dyDescent="0.3">
      <c r="B16" s="35" t="s">
        <v>217</v>
      </c>
      <c r="D16" s="91">
        <f>Financials!M10</f>
        <v>1172.3091625475122</v>
      </c>
    </row>
    <row r="17" spans="2:4" ht="15" customHeight="1" x14ac:dyDescent="0.3">
      <c r="B17" s="35" t="s">
        <v>218</v>
      </c>
      <c r="D17" s="115">
        <f>Assumptions!C78</f>
        <v>22</v>
      </c>
    </row>
    <row r="18" spans="2:4" ht="15" customHeight="1" x14ac:dyDescent="0.3">
      <c r="B18" s="43" t="s">
        <v>163</v>
      </c>
      <c r="C18" s="43"/>
      <c r="D18" s="102">
        <f>D17*D16</f>
        <v>25790.801576045269</v>
      </c>
    </row>
    <row r="19" spans="2:4" ht="15" customHeight="1" x14ac:dyDescent="0.3">
      <c r="B19" s="35" t="s">
        <v>219</v>
      </c>
      <c r="D19" s="83">
        <f>'Debt Schedule'!H27</f>
        <v>0</v>
      </c>
    </row>
    <row r="20" spans="2:4" ht="15" customHeight="1" x14ac:dyDescent="0.3">
      <c r="B20" s="35" t="s">
        <v>164</v>
      </c>
      <c r="D20" s="91">
        <f>D18-D19</f>
        <v>25790.801576045269</v>
      </c>
    </row>
    <row r="21" spans="2:4" ht="15" customHeight="1" x14ac:dyDescent="0.3">
      <c r="B21" s="35" t="s">
        <v>220</v>
      </c>
      <c r="D21" s="84">
        <f>D20*0.05</f>
        <v>1289.5400788022635</v>
      </c>
    </row>
    <row r="22" spans="2:4" ht="15" customHeight="1" x14ac:dyDescent="0.3">
      <c r="B22" s="43" t="s">
        <v>221</v>
      </c>
      <c r="C22" s="43"/>
      <c r="D22" s="116">
        <f>D20-D21</f>
        <v>24501.261497243006</v>
      </c>
    </row>
    <row r="25" spans="2:4" ht="21.75" customHeight="1" x14ac:dyDescent="0.3">
      <c r="B25" s="30" t="s">
        <v>222</v>
      </c>
      <c r="C25" s="30"/>
      <c r="D25" s="30"/>
    </row>
    <row r="26" spans="2:4" ht="15" customHeight="1" x14ac:dyDescent="0.3">
      <c r="B26" s="33" t="s">
        <v>223</v>
      </c>
      <c r="C26" s="33"/>
      <c r="D26" s="79" t="s">
        <v>224</v>
      </c>
    </row>
    <row r="27" spans="2:4" ht="15" customHeight="1" x14ac:dyDescent="0.3">
      <c r="B27" s="112" t="s">
        <v>225</v>
      </c>
      <c r="D27" s="85">
        <f>-Assumptions!E43</f>
        <v>-9068.4130540000006</v>
      </c>
    </row>
    <row r="28" spans="2:4" ht="15" customHeight="1" x14ac:dyDescent="0.3">
      <c r="B28" s="35" t="s">
        <v>226</v>
      </c>
      <c r="D28" s="117">
        <f>Financials!H27</f>
        <v>-252.32781740799999</v>
      </c>
    </row>
    <row r="29" spans="2:4" ht="15" customHeight="1" x14ac:dyDescent="0.3">
      <c r="B29" s="35" t="s">
        <v>227</v>
      </c>
      <c r="D29" s="117">
        <f>Financials!I27</f>
        <v>-159.07642042239985</v>
      </c>
    </row>
    <row r="30" spans="2:4" ht="15" customHeight="1" x14ac:dyDescent="0.3">
      <c r="B30" s="35" t="s">
        <v>228</v>
      </c>
      <c r="D30" s="117">
        <f>Financials!J27</f>
        <v>-49.491712261119801</v>
      </c>
    </row>
    <row r="31" spans="2:4" ht="15" customHeight="1" x14ac:dyDescent="0.3">
      <c r="B31" s="35" t="s">
        <v>229</v>
      </c>
      <c r="D31" s="117">
        <f>Financials!K27</f>
        <v>61.420509868532008</v>
      </c>
    </row>
    <row r="32" spans="2:4" ht="15" customHeight="1" x14ac:dyDescent="0.3">
      <c r="B32" s="112" t="s">
        <v>230</v>
      </c>
      <c r="D32" s="102">
        <f>Financials!L27</f>
        <v>-16.540589836679942</v>
      </c>
    </row>
    <row r="33" spans="2:4" ht="15" customHeight="1" x14ac:dyDescent="0.3">
      <c r="B33" s="35" t="s">
        <v>231</v>
      </c>
      <c r="D33" s="117">
        <f>Financials!M27+D22</f>
        <v>24494.70063956346</v>
      </c>
    </row>
    <row r="35" spans="2:4" ht="21.75" customHeight="1" x14ac:dyDescent="0.3">
      <c r="B35" s="30" t="s">
        <v>232</v>
      </c>
      <c r="C35" s="30"/>
      <c r="D35" s="30"/>
    </row>
    <row r="36" spans="2:4" ht="17.25" customHeight="1" x14ac:dyDescent="0.3">
      <c r="B36" s="60" t="s">
        <v>233</v>
      </c>
      <c r="C36" s="60"/>
      <c r="D36" s="118">
        <f>IFERROR(IRR(D27:D33),"Check CFs")</f>
        <v>0.17297006771309897</v>
      </c>
    </row>
    <row r="37" spans="2:4" ht="15" customHeight="1" x14ac:dyDescent="0.3">
      <c r="B37" s="43" t="s">
        <v>234</v>
      </c>
      <c r="D37" s="119">
        <f>IFERROR(D22/Assumptions!E43,"")</f>
        <v>2.7018246027551323</v>
      </c>
    </row>
    <row r="38" spans="2:4" ht="15" customHeight="1" x14ac:dyDescent="0.3">
      <c r="B38" s="104" t="s">
        <v>235</v>
      </c>
    </row>
    <row r="40" spans="2:4" ht="21.75" customHeight="1" x14ac:dyDescent="0.3">
      <c r="B40" s="113" t="s">
        <v>236</v>
      </c>
      <c r="C40" s="113"/>
      <c r="D40" s="1"/>
    </row>
    <row r="41" spans="2:4" ht="15" customHeight="1" x14ac:dyDescent="0.3">
      <c r="B41" s="35" t="s">
        <v>237</v>
      </c>
      <c r="D41" s="91">
        <f>Assumptions!E43</f>
        <v>9068.4130540000006</v>
      </c>
    </row>
    <row r="42" spans="2:4" ht="15" customHeight="1" x14ac:dyDescent="0.3">
      <c r="B42" s="35" t="s">
        <v>238</v>
      </c>
      <c r="D42" s="83">
        <f>D22-D41</f>
        <v>15432.848443243005</v>
      </c>
    </row>
    <row r="43" spans="2:4" ht="15" customHeight="1" x14ac:dyDescent="0.3">
      <c r="B43" s="35" t="s">
        <v>239</v>
      </c>
      <c r="D43" s="83">
        <f>Assumptions!E42-'Debt Schedule'!H19</f>
        <v>2700</v>
      </c>
    </row>
    <row r="44" spans="2:4" ht="15" customHeight="1" x14ac:dyDescent="0.3">
      <c r="B44" s="35" t="s">
        <v>164</v>
      </c>
      <c r="D44" s="83">
        <f>D22</f>
        <v>24501.261497243006</v>
      </c>
    </row>
    <row r="45" spans="2:4" ht="15" customHeight="1" x14ac:dyDescent="0.3">
      <c r="B45" s="35" t="s">
        <v>240</v>
      </c>
      <c r="D45" s="120">
        <f>IFERROR(D22/Assumptions!E43,"")</f>
        <v>2.7018246027551323</v>
      </c>
    </row>
  </sheetData>
  <sheetProtection algorithmName="SHA-512" hashValue="Ngl9lsf9N17DG7csYWh2Z2XzXpVJucapDFcSxTgLVghYPQgfDo3OZ713vZ0z+88NRYm8gtUjdyRljW2ONkTK3A==" saltValue="h/IB1524w7vCmKy6bm+yHg==" spinCount="100000" sheet="1" objects="1" scenarios="1"/>
  <pageMargins left="0.75" right="0.75" top="1" bottom="1" header="0.511811023622047" footer="0.511811023622047"/>
  <pageSetup paperSize="9" scale="98"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1537E-989B-4598-B713-1F5D348308BE}">
  <dimension ref="B1:I34"/>
  <sheetViews>
    <sheetView showGridLines="0" zoomScale="117" workbookViewId="0"/>
  </sheetViews>
  <sheetFormatPr defaultRowHeight="14.4" x14ac:dyDescent="0.3"/>
  <cols>
    <col min="1" max="1" width="2.33203125" style="128" customWidth="1"/>
    <col min="2" max="2" width="15.5546875" style="128" customWidth="1"/>
    <col min="3" max="16384" width="8.88671875" style="128"/>
  </cols>
  <sheetData>
    <row r="1" spans="2:9" ht="6" customHeight="1" x14ac:dyDescent="0.3"/>
    <row r="2" spans="2:9" ht="28.05" customHeight="1" x14ac:dyDescent="0.3">
      <c r="B2" s="129" t="s">
        <v>269</v>
      </c>
      <c r="C2" s="129"/>
      <c r="D2" s="129"/>
      <c r="E2" s="129"/>
      <c r="F2" s="129"/>
      <c r="G2" s="129"/>
      <c r="H2" s="129"/>
      <c r="I2" s="129"/>
    </row>
    <row r="3" spans="2:9" ht="3" customHeight="1" x14ac:dyDescent="0.3">
      <c r="B3" s="130"/>
      <c r="C3" s="130"/>
      <c r="D3" s="130"/>
      <c r="E3" s="130"/>
      <c r="F3" s="130"/>
      <c r="G3" s="130"/>
      <c r="H3" s="130"/>
      <c r="I3" s="130"/>
    </row>
    <row r="5" spans="2:9" ht="19.95" customHeight="1" x14ac:dyDescent="0.3">
      <c r="B5" s="131" t="s">
        <v>282</v>
      </c>
      <c r="C5" s="132"/>
      <c r="D5" s="132"/>
      <c r="E5" s="132"/>
      <c r="F5" s="132"/>
      <c r="G5" s="132"/>
      <c r="H5" s="132"/>
      <c r="I5" s="132"/>
    </row>
    <row r="6" spans="2:9" ht="6" customHeight="1" x14ac:dyDescent="0.3"/>
    <row r="7" spans="2:9" x14ac:dyDescent="0.3">
      <c r="B7" s="133" t="s">
        <v>270</v>
      </c>
      <c r="C7" s="148">
        <v>22</v>
      </c>
    </row>
    <row r="8" spans="2:9" x14ac:dyDescent="0.3">
      <c r="B8" s="133" t="s">
        <v>271</v>
      </c>
      <c r="C8" s="147">
        <v>0.1</v>
      </c>
    </row>
    <row r="9" spans="2:9" ht="21.6" customHeight="1" x14ac:dyDescent="0.3"/>
    <row r="10" spans="2:9" ht="22.05" customHeight="1" x14ac:dyDescent="0.3">
      <c r="B10" s="134" t="s">
        <v>273</v>
      </c>
      <c r="C10" s="132"/>
      <c r="D10" s="132"/>
      <c r="E10" s="132"/>
      <c r="F10" s="132"/>
      <c r="G10" s="132"/>
      <c r="H10" s="132"/>
      <c r="I10" s="132"/>
    </row>
    <row r="11" spans="2:9" ht="6" customHeight="1" x14ac:dyDescent="0.3"/>
    <row r="12" spans="2:9" x14ac:dyDescent="0.3">
      <c r="B12" s="145">
        <f>'LBO Return'!D36</f>
        <v>0.17297006771309897</v>
      </c>
      <c r="C12" s="135">
        <v>16</v>
      </c>
      <c r="D12" s="135">
        <v>18</v>
      </c>
      <c r="E12" s="135">
        <v>20</v>
      </c>
      <c r="F12" s="135">
        <v>22</v>
      </c>
      <c r="G12" s="135">
        <v>24</v>
      </c>
      <c r="H12" s="135">
        <v>26</v>
      </c>
      <c r="I12" s="135">
        <v>28</v>
      </c>
    </row>
    <row r="13" spans="2:9" x14ac:dyDescent="0.3">
      <c r="B13" s="146">
        <v>0.06</v>
      </c>
      <c r="C13" s="142">
        <f t="dataTable" ref="C13:I17" dt2D="1" dtr="1" r1="C7" r2="C8"/>
        <v>0.10363160661332715</v>
      </c>
      <c r="D13" s="142">
        <v>0.12580885902026084</v>
      </c>
      <c r="E13" s="142">
        <v>0.1460117860229706</v>
      </c>
      <c r="F13" s="142">
        <v>0.16458990769758652</v>
      </c>
      <c r="G13" s="142">
        <v>0.18180548754836834</v>
      </c>
      <c r="H13" s="142">
        <v>0.19786063218235217</v>
      </c>
      <c r="I13" s="142">
        <v>0.21291456952671317</v>
      </c>
    </row>
    <row r="14" spans="2:9" x14ac:dyDescent="0.3">
      <c r="B14" s="146">
        <v>0.08</v>
      </c>
      <c r="C14" s="142">
        <v>0.10776441705451001</v>
      </c>
      <c r="D14" s="142">
        <v>0.12997172988432903</v>
      </c>
      <c r="E14" s="142">
        <v>0.15020502730465557</v>
      </c>
      <c r="F14" s="142">
        <v>0.16881333576554058</v>
      </c>
      <c r="G14" s="142">
        <v>0.18605864381915294</v>
      </c>
      <c r="H14" s="142">
        <v>0.20214290744049879</v>
      </c>
      <c r="I14" s="142">
        <v>0.21722527675951087</v>
      </c>
    </row>
    <row r="15" spans="2:9" x14ac:dyDescent="0.3">
      <c r="B15" s="146">
        <v>0.1</v>
      </c>
      <c r="C15" s="142">
        <v>0.11183099746768033</v>
      </c>
      <c r="D15" s="142">
        <v>0.1340682859861293</v>
      </c>
      <c r="E15" s="143">
        <v>0.15433178900802358</v>
      </c>
      <c r="F15" s="144">
        <v>0.17297006771309897</v>
      </c>
      <c r="G15" s="142">
        <v>0.19024485366775412</v>
      </c>
      <c r="H15" s="142">
        <v>0.20635796399028861</v>
      </c>
      <c r="I15" s="142">
        <v>0.2214684789387833</v>
      </c>
    </row>
    <row r="16" spans="2:9" x14ac:dyDescent="0.3">
      <c r="B16" s="146">
        <v>0.12</v>
      </c>
      <c r="C16" s="142">
        <v>0.11583370019940298</v>
      </c>
      <c r="D16" s="142">
        <v>0.13810086680498257</v>
      </c>
      <c r="E16" s="142">
        <v>0.15839440354924439</v>
      </c>
      <c r="F16" s="142">
        <v>0.17706243287475254</v>
      </c>
      <c r="G16" s="142">
        <v>0.19436644615296883</v>
      </c>
      <c r="H16" s="142">
        <v>0.21050813263482704</v>
      </c>
      <c r="I16" s="142">
        <v>0.22564651008937209</v>
      </c>
    </row>
    <row r="17" spans="2:9" x14ac:dyDescent="0.3">
      <c r="B17" s="146">
        <v>0.14000000000000001</v>
      </c>
      <c r="C17" s="142">
        <v>0.11977475103000135</v>
      </c>
      <c r="D17" s="142">
        <v>0.14207168675806736</v>
      </c>
      <c r="E17" s="142">
        <v>0.1623950793216018</v>
      </c>
      <c r="F17" s="142">
        <v>0.18109263726864011</v>
      </c>
      <c r="G17" s="142">
        <v>0.19842562749028581</v>
      </c>
      <c r="H17" s="142">
        <v>0.21459562163370394</v>
      </c>
      <c r="I17" s="142">
        <v>0.22976158186240103</v>
      </c>
    </row>
    <row r="18" spans="2:9" ht="23.4" customHeight="1" x14ac:dyDescent="0.3"/>
    <row r="19" spans="2:9" ht="22.05" customHeight="1" x14ac:dyDescent="0.3">
      <c r="B19" s="134" t="s">
        <v>272</v>
      </c>
      <c r="C19" s="132"/>
      <c r="D19" s="132"/>
      <c r="E19" s="132"/>
      <c r="F19" s="132"/>
      <c r="G19" s="132"/>
      <c r="H19" s="132"/>
      <c r="I19" s="132"/>
    </row>
    <row r="20" spans="2:9" ht="6" customHeight="1" x14ac:dyDescent="0.3"/>
    <row r="21" spans="2:9" x14ac:dyDescent="0.3">
      <c r="B21" s="141">
        <f>'LBO Return'!D37</f>
        <v>2.7018246027551323</v>
      </c>
      <c r="C21" s="149">
        <v>16</v>
      </c>
      <c r="D21" s="149">
        <v>18</v>
      </c>
      <c r="E21" s="149">
        <v>20</v>
      </c>
      <c r="F21" s="149">
        <v>22</v>
      </c>
      <c r="G21" s="149">
        <v>24</v>
      </c>
      <c r="H21" s="149">
        <v>26</v>
      </c>
      <c r="I21" s="149">
        <v>28</v>
      </c>
    </row>
    <row r="22" spans="2:9" x14ac:dyDescent="0.3">
      <c r="B22" s="146">
        <v>0.06</v>
      </c>
      <c r="C22" s="150">
        <f t="dataTable" ref="C22:I26" dt2D="1" dtr="1" r1="C7" r2="C8" ca="1"/>
        <v>1.8935101348234316</v>
      </c>
      <c r="D22" s="150">
        <v>2.1301989016763603</v>
      </c>
      <c r="E22" s="150">
        <v>2.366887668529289</v>
      </c>
      <c r="F22" s="150">
        <v>2.6035764353822182</v>
      </c>
      <c r="G22" s="150">
        <v>2.8402652022351469</v>
      </c>
      <c r="H22" s="150">
        <v>3.0769539690880761</v>
      </c>
      <c r="I22" s="150">
        <v>3.3136427359410048</v>
      </c>
    </row>
    <row r="23" spans="2:9" x14ac:dyDescent="0.3">
      <c r="B23" s="146">
        <v>0.08</v>
      </c>
      <c r="C23" s="150">
        <v>1.9292367411408546</v>
      </c>
      <c r="D23" s="150">
        <v>2.1703913337834613</v>
      </c>
      <c r="E23" s="150">
        <v>2.4115459264260681</v>
      </c>
      <c r="F23" s="150">
        <v>2.652700519068675</v>
      </c>
      <c r="G23" s="150">
        <v>2.8938551117112823</v>
      </c>
      <c r="H23" s="150">
        <v>3.1350097043538887</v>
      </c>
      <c r="I23" s="150">
        <v>3.3761642969964956</v>
      </c>
    </row>
    <row r="24" spans="2:9" x14ac:dyDescent="0.3">
      <c r="B24" s="146">
        <v>0.1</v>
      </c>
      <c r="C24" s="150">
        <v>1.9649633474582777</v>
      </c>
      <c r="D24" s="150">
        <v>2.2105837658905627</v>
      </c>
      <c r="E24" s="151">
        <v>2.4562041843228468</v>
      </c>
      <c r="F24" s="152">
        <v>2.7018246027551323</v>
      </c>
      <c r="G24" s="150">
        <v>2.9474450211874168</v>
      </c>
      <c r="H24" s="150">
        <v>3.1930654396197014</v>
      </c>
      <c r="I24" s="150">
        <v>3.4386858580519863</v>
      </c>
    </row>
    <row r="25" spans="2:9" x14ac:dyDescent="0.3">
      <c r="B25" s="146">
        <v>0.12</v>
      </c>
      <c r="C25" s="150">
        <v>2.0006899537757006</v>
      </c>
      <c r="D25" s="150">
        <v>2.2507761979976628</v>
      </c>
      <c r="E25" s="150">
        <v>2.5008624422196255</v>
      </c>
      <c r="F25" s="150">
        <v>2.7509486864415882</v>
      </c>
      <c r="G25" s="150">
        <v>3.0010349306635509</v>
      </c>
      <c r="H25" s="150">
        <v>3.2511211748855131</v>
      </c>
      <c r="I25" s="150">
        <v>3.5012074191074762</v>
      </c>
    </row>
    <row r="26" spans="2:9" x14ac:dyDescent="0.3">
      <c r="B26" s="146">
        <v>0.14000000000000001</v>
      </c>
      <c r="C26" s="150">
        <v>2.0364165600931239</v>
      </c>
      <c r="D26" s="150">
        <v>2.2909686301047643</v>
      </c>
      <c r="E26" s="150">
        <v>2.5455207001164046</v>
      </c>
      <c r="F26" s="150">
        <v>2.8000727701280455</v>
      </c>
      <c r="G26" s="150">
        <v>3.0546248401396854</v>
      </c>
      <c r="H26" s="150">
        <v>3.3091769101513266</v>
      </c>
      <c r="I26" s="150">
        <v>3.563728980162967</v>
      </c>
    </row>
    <row r="27" spans="2:9" ht="21" customHeight="1" x14ac:dyDescent="0.3"/>
    <row r="28" spans="2:9" ht="18" x14ac:dyDescent="0.3">
      <c r="B28" s="136" t="s">
        <v>274</v>
      </c>
      <c r="C28" s="136"/>
      <c r="D28" s="136"/>
      <c r="E28" s="136"/>
      <c r="F28" s="136"/>
      <c r="G28" s="136"/>
      <c r="H28" s="136"/>
      <c r="I28" s="136"/>
    </row>
    <row r="29" spans="2:9" ht="6" customHeight="1" x14ac:dyDescent="0.3">
      <c r="B29" s="137"/>
    </row>
    <row r="30" spans="2:9" x14ac:dyDescent="0.3">
      <c r="B30" s="138" t="s">
        <v>275</v>
      </c>
      <c r="C30" s="139"/>
      <c r="D30" s="139"/>
      <c r="E30" s="139"/>
      <c r="F30" s="139"/>
      <c r="G30" s="139"/>
      <c r="H30" s="139"/>
    </row>
    <row r="31" spans="2:9" x14ac:dyDescent="0.3">
      <c r="B31" s="138" t="s">
        <v>276</v>
      </c>
      <c r="C31" s="139"/>
      <c r="D31" s="139"/>
      <c r="E31" s="139"/>
      <c r="F31" s="139"/>
      <c r="G31" s="139"/>
      <c r="H31" s="139"/>
    </row>
    <row r="32" spans="2:9" x14ac:dyDescent="0.3">
      <c r="B32" s="140" t="s">
        <v>277</v>
      </c>
      <c r="C32" s="139"/>
      <c r="D32" s="139"/>
      <c r="E32" s="139"/>
      <c r="F32" s="139"/>
      <c r="G32" s="139"/>
      <c r="H32" s="139"/>
    </row>
    <row r="33" spans="2:8" x14ac:dyDescent="0.3">
      <c r="B33" s="138" t="s">
        <v>278</v>
      </c>
      <c r="C33" s="139"/>
      <c r="D33" s="139"/>
      <c r="E33" s="139"/>
      <c r="F33" s="139"/>
      <c r="G33" s="139"/>
      <c r="H33" s="139"/>
    </row>
    <row r="34" spans="2:8" x14ac:dyDescent="0.3">
      <c r="B34" s="138" t="s">
        <v>279</v>
      </c>
      <c r="C34" s="139"/>
      <c r="D34" s="139"/>
      <c r="E34" s="139"/>
      <c r="F34" s="139"/>
      <c r="G34" s="139"/>
      <c r="H34" s="139"/>
    </row>
  </sheetData>
  <sheetProtection algorithmName="SHA-512" hashValue="Ol95qezzhflbtGPXWAa+eb/pdga8MAN00Fux2DMSXE6AcFf/rCPXkKhKDi0BpQhync/i1wogCWKQKs2b35CFSA==" saltValue="dY60W3ZymL4i7FOxo+5hPA==" spinCount="100000" sheet="1" objects="1" scenarios="1"/>
  <mergeCells count="1">
    <mergeCell ref="B2: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vt:lpstr>
      <vt:lpstr>Data Sheet</vt:lpstr>
      <vt:lpstr>Assumptions</vt:lpstr>
      <vt:lpstr>Financials</vt:lpstr>
      <vt:lpstr>Debt Schedule</vt:lpstr>
      <vt:lpstr>LBO Return</vt:lpstr>
      <vt:lpstr>Sensitivity Analysis</vt:lpstr>
      <vt:lpstr>Assumptions!Print_Area</vt:lpstr>
      <vt:lpstr>Cover!Print_Area</vt:lpstr>
      <vt:lpstr>Financials!Print_Area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dc:description/>
  <cp:lastModifiedBy>Anvay Gulwe</cp:lastModifiedBy>
  <cp:revision>0</cp:revision>
  <cp:lastPrinted>2026-04-25T14:31:57Z</cp:lastPrinted>
  <dcterms:created xsi:type="dcterms:W3CDTF">2026-03-29T15:21:04Z</dcterms:created>
  <dcterms:modified xsi:type="dcterms:W3CDTF">2026-05-05T04:57:32Z</dcterms:modified>
  <dc:language>en-US</dc:language>
</cp:coreProperties>
</file>