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ver" sheetId="1" r:id="rId4"/>
    <sheet state="visible" name="Project Finance Model" sheetId="2" r:id="rId5"/>
    <sheet state="visible" name="Executive Summary" sheetId="3" r:id="rId6"/>
  </sheets>
  <definedNames>
    <definedName name="Equity_IRR">'Project Finance Model'!$B$110</definedName>
    <definedName name="CapEx">'Project Finance Model'!$C$25</definedName>
    <definedName name="Installed_Capacity">'Project Finance Model'!$C$8</definedName>
    <definedName name="Ash_Rate">'Project Finance Model'!$C$23</definedName>
    <definedName name="WP">'Project Finance Model'!$B$57</definedName>
    <definedName name="Sensitivity_Analysis">'Project Finance Model'!$B$119</definedName>
    <definedName name="Project_Life">'Project Finance Model'!$C$32</definedName>
    <definedName name="Degradation">'Project Finance Model'!$C$10</definedName>
    <definedName name="PPA_Tariff_MWh">'Project Finance Model'!$C$14</definedName>
    <definedName name="Inflation">'Project Finance Model'!$C$22</definedName>
    <definedName name="Capacity__MW">'Project Finance Model'!$D$10</definedName>
    <definedName name="Variable_Assumption">'Project Finance Model'!$C$20</definedName>
    <definedName name="Equity_NPV">'Project Finance Model'!$B$111</definedName>
    <definedName name="Yearly_Hour">'Project Finance Model'!$C$11</definedName>
    <definedName name="Fixed_Assumption">'Project Finance Model'!$C$21</definedName>
    <definedName name="Depreciation_Life">'Project Finance Model'!$C$32</definedName>
    <definedName name="OM_Cost">'Project Finance Model'!$B$48</definedName>
    <definedName name="PLF">'Project Finance Model'!$C$9</definedName>
    <definedName name="Tipping_Fee_Base">'Project Finance Model'!$C$18</definedName>
    <definedName name="Waste_Processed">'Project Finance Model'!$C$17</definedName>
    <definedName name="Finance_and_Debt_Shedule">'Project Finance Model'!$B$74</definedName>
    <definedName name="ENERGY_REVENUE">'Project Finance Model'!$B$39</definedName>
    <definedName name="Cash_Flow_and_DSCR">'Project Finance Model'!$B$90</definedName>
    <definedName name="Salvage_Value">'Project Finance Model'!$C$33</definedName>
    <definedName name="CapEx_and_Depreciation">'Project Finance Model'!$B$64</definedName>
    <definedName name="Escalator">'Project Finance Model'!$C$15</definedName>
    <definedName name="Daily_Waste_Tons">'Project Finance Model'!$C$16</definedName>
    <definedName name="Working_Capital_Days">'Project Finance Model'!$C$35</definedName>
    <definedName name="Project_Timing">'Project Finance Model'!$B$1</definedName>
    <definedName hidden="1" name="Google_Sheet_Link_1108410130">Equity_IRR</definedName>
    <definedName hidden="1" name="Google_Sheet_Link_1234735610">OM_Cost</definedName>
    <definedName hidden="1" name="Google_Sheet_Link_1310237703">CapEx_and_Depreciation</definedName>
    <definedName hidden="1" name="Google_Sheet_Link_1698018089">Sensitivity_Analysis</definedName>
    <definedName hidden="1" name="Google_Sheet_Link_364827424">Cash_Flow_and_DSCR</definedName>
    <definedName hidden="1" name="Google_Sheet_Link_535406993">WP</definedName>
    <definedName hidden="1" name="Google_Sheet_Link_917777029">ENERGY_REVENUE</definedName>
    <definedName hidden="1" name="Google_Sheet_Link_968409308">Finance_and_Debt_Shedule</definedName>
    <definedName hidden="1" name="Google_Sheet_Link_969954909">Project_Timing</definedName>
  </definedNames>
  <calcPr/>
  <extLst>
    <ext uri="GoogleSheetsCustomDataVersion2">
      <go:sheetsCustomData xmlns:go="http://customooxmlschemas.google.com/" r:id="rId7" roundtripDataChecksum="k+qIswiTudw1Ye+g/HNc8obc1WdLSf7lYQ2fLvUmtQQ="/>
    </ext>
  </extLst>
</workbook>
</file>

<file path=xl/sharedStrings.xml><?xml version="1.0" encoding="utf-8"?>
<sst xmlns="http://schemas.openxmlformats.org/spreadsheetml/2006/main" count="196" uniqueCount="165">
  <si>
    <t>WASTE TO ENERGY PROJECT — FNIANCIAL MODEL</t>
  </si>
  <si>
    <t>Project Finance | Investment Banking Model</t>
  </si>
  <si>
    <t>Model Information</t>
  </si>
  <si>
    <t>Prepared By</t>
  </si>
  <si>
    <t>Anvay Gulave</t>
  </si>
  <si>
    <t>Date</t>
  </si>
  <si>
    <t>7 Feb, 2026</t>
  </si>
  <si>
    <t>Version</t>
  </si>
  <si>
    <t>v1.0 - Final</t>
  </si>
  <si>
    <t>Model Pupose</t>
  </si>
  <si>
    <t>Lender / Investor Anlysis</t>
  </si>
  <si>
    <t>Model Index</t>
  </si>
  <si>
    <t>Cover Page</t>
  </si>
  <si>
    <t>Project Finance Model</t>
  </si>
  <si>
    <t>Project Assumptions</t>
  </si>
  <si>
    <t>Energy &amp; Revenue</t>
  </si>
  <si>
    <t>Operation &amp; Maintance Cost</t>
  </si>
  <si>
    <t>Working Capital</t>
  </si>
  <si>
    <t>CapEx &amp; Depreciation</t>
  </si>
  <si>
    <t>Financing &amp; Debt Shedule</t>
  </si>
  <si>
    <t>Cash Flow &amp; DSCR</t>
  </si>
  <si>
    <t>Equity Return (IRR &amp; NPV)</t>
  </si>
  <si>
    <t>Sensitivity Analysis</t>
  </si>
  <si>
    <t>Executive Summary</t>
  </si>
  <si>
    <t>#</t>
  </si>
  <si>
    <t>Project name</t>
  </si>
  <si>
    <t>Waste to Energy Plant</t>
  </si>
  <si>
    <t>Project Timing</t>
  </si>
  <si>
    <t>Construction Period</t>
  </si>
  <si>
    <t>Operational Life</t>
  </si>
  <si>
    <t>Installed Capacity (MW)</t>
  </si>
  <si>
    <t>Plant Load Factor (%)</t>
  </si>
  <si>
    <t>Annual Degradation (%)</t>
  </si>
  <si>
    <t>Yearly Hours</t>
  </si>
  <si>
    <t>Revenue (Inflow)</t>
  </si>
  <si>
    <t>Power Tariff (PPA)</t>
  </si>
  <si>
    <t>Power Tariff</t>
  </si>
  <si>
    <t>Annual Tariff Escalator</t>
  </si>
  <si>
    <t>Daily Waste Intake (Tons/Day)</t>
  </si>
  <si>
    <t>Waste Produce</t>
  </si>
  <si>
    <t>Tipping Fee (INR/Ton)</t>
  </si>
  <si>
    <t>Expenses (Outflow)</t>
  </si>
  <si>
    <t>Variable O&amp;M (INR/kWh)</t>
  </si>
  <si>
    <t>Fixed O&amp;M (INR/MW-year)</t>
  </si>
  <si>
    <t>Inflation Escalation (%)</t>
  </si>
  <si>
    <t>Ash Disposal Cost (INR/Ton)</t>
  </si>
  <si>
    <t>Capex &amp; Debt</t>
  </si>
  <si>
    <t>Initial Capex (INR Crore)</t>
  </si>
  <si>
    <t>Percent Debt (%)</t>
  </si>
  <si>
    <t>Debt Tenor (Yr)</t>
  </si>
  <si>
    <t>Debt Interest Rate (%)</t>
  </si>
  <si>
    <t>Debt Grace Period (Yr)</t>
  </si>
  <si>
    <t>Tax &amp; Financials</t>
  </si>
  <si>
    <t>Corporate Tax Rate (%)</t>
  </si>
  <si>
    <t>Depreciation Life (Yr)</t>
  </si>
  <si>
    <t>Salvage Value (%)</t>
  </si>
  <si>
    <t>Project Details</t>
  </si>
  <si>
    <t>Working capital (days revenue)</t>
  </si>
  <si>
    <t>DSRA requirement</t>
  </si>
  <si>
    <t>Discount Rate (%)</t>
  </si>
  <si>
    <t>ENERGY &amp; REVENUE</t>
  </si>
  <si>
    <t>Operation Flag</t>
  </si>
  <si>
    <t>Energy produced (MWh)</t>
  </si>
  <si>
    <t>Waste Processed (Tons)</t>
  </si>
  <si>
    <t>Average Tariff (INR/MWh)</t>
  </si>
  <si>
    <t>Revenue (INR Crs.)</t>
  </si>
  <si>
    <t>O&amp;M EXPENSES</t>
  </si>
  <si>
    <t>Inflation Factor</t>
  </si>
  <si>
    <t>Fixed Expenses</t>
  </si>
  <si>
    <t>Variable Expenses</t>
  </si>
  <si>
    <t>Ash Disposal</t>
  </si>
  <si>
    <t>Total</t>
  </si>
  <si>
    <t>Revenue</t>
  </si>
  <si>
    <t>Working Capital Required</t>
  </si>
  <si>
    <t>Working Capital Change</t>
  </si>
  <si>
    <t>Opening Balance</t>
  </si>
  <si>
    <t>Addition/Sale</t>
  </si>
  <si>
    <t>Capitalization of Interest</t>
  </si>
  <si>
    <t>Depreciation</t>
  </si>
  <si>
    <t>Closing Balance</t>
  </si>
  <si>
    <t>FINANCING &amp; DEBT SCHEDULE</t>
  </si>
  <si>
    <t>CapEx</t>
  </si>
  <si>
    <t xml:space="preserve">Debt drawdown </t>
  </si>
  <si>
    <t>Equity invest</t>
  </si>
  <si>
    <t>Debt tenor (years)</t>
  </si>
  <si>
    <t>Debt interest rate (annum)</t>
  </si>
  <si>
    <t>Interest</t>
  </si>
  <si>
    <t>Principal Repayment</t>
  </si>
  <si>
    <t>Debt Payment Annuity</t>
  </si>
  <si>
    <t>Closing Debt Balance</t>
  </si>
  <si>
    <t>Operational Flag</t>
  </si>
  <si>
    <t>Total O&amp;M</t>
  </si>
  <si>
    <t>EBITDA</t>
  </si>
  <si>
    <t>v</t>
  </si>
  <si>
    <t>Earning Before Taxes</t>
  </si>
  <si>
    <t>Tax</t>
  </si>
  <si>
    <t>Net Income</t>
  </si>
  <si>
    <t>Add: Depreciation</t>
  </si>
  <si>
    <t>Less: Principal repayment</t>
  </si>
  <si>
    <t>Capital Expenditure Salvage</t>
  </si>
  <si>
    <t>DSRA</t>
  </si>
  <si>
    <t>Free cashflow to equity</t>
  </si>
  <si>
    <t>Debt service (Interest+Principal)</t>
  </si>
  <si>
    <t>DSCR (EBITDA / Debt service)</t>
  </si>
  <si>
    <t>Equity IRR</t>
  </si>
  <si>
    <t>Equity NPV</t>
  </si>
  <si>
    <t xml:space="preserve">Equity IRR to PLF </t>
  </si>
  <si>
    <t>Equity IRR to Tipping Fee</t>
  </si>
  <si>
    <t xml:space="preserve">Equity IRR to Capex </t>
  </si>
  <si>
    <t>(Plant Efficiency)</t>
  </si>
  <si>
    <t>(Revenue Risk)</t>
  </si>
  <si>
    <t>(Cost Overrun)</t>
  </si>
  <si>
    <t>Project Financial Overview &amp; Key Insights</t>
  </si>
  <si>
    <t>Project Core &amp; Funding Structure</t>
  </si>
  <si>
    <t>Metric</t>
  </si>
  <si>
    <t>Value</t>
  </si>
  <si>
    <t>Interpretation</t>
  </si>
  <si>
    <t>Why this value?</t>
  </si>
  <si>
    <t>Installed Capacity</t>
  </si>
  <si>
    <t>The maximum power output the plant can generate.</t>
  </si>
  <si>
    <t>The maximum power the plant can produce.</t>
  </si>
  <si>
    <t>Total Project Cost</t>
  </si>
  <si>
    <t>The sum of Hard Capex (₹250 Cr) and Interest During
Construction (₹18.38 Cr).</t>
  </si>
  <si>
    <t>It includes IDC because the interest paid before the project starts operating is added to the total asset cost, as per accounting rules.</t>
  </si>
  <si>
    <t>Debt : Equity</t>
  </si>
  <si>
    <t>70:30</t>
  </si>
  <si>
    <t>The ratio of bank financing to investor capital.</t>
  </si>
  <si>
    <t>Infrastructure projects usually use 70% debt and 30% equity to boost returns.</t>
  </si>
  <si>
    <t>Profitability &amp; Returns</t>
  </si>
  <si>
    <t>Professional Insight</t>
  </si>
  <si>
    <t>The annualized return on the investor's equity capital.</t>
  </si>
  <si>
    <t>Because WtE projects involve higher risk, investors expect around 20% returns.</t>
  </si>
  <si>
    <t>The current value of all future profits, discounted at 12%</t>
  </si>
  <si>
    <t>A positive NPV confirms that the project generates value well above the 12% cost of capital</t>
  </si>
  <si>
    <t>Payback Period</t>
  </si>
  <si>
    <t>~5.5 Yr</t>
  </si>
  <si>
    <t>The time required to recover the initial 75 Cr equity investment.</t>
  </si>
  <si>
    <t>Recovering capital within the first 6 years of a 15 year life is considered a very healthy liquidity signal.</t>
  </si>
  <si>
    <t>Debt &amp; Risk Analysis</t>
  </si>
  <si>
    <t>Average DSCR</t>
  </si>
  <si>
    <t>EBITDA divided by total debt service (Principal + Interest)</t>
  </si>
  <si>
    <t>An average DSCR of 1.95 is well above the bank requirement, showing strong repayment capacity.</t>
  </si>
  <si>
    <t>A 6-month debt service reserve fund kept in a separate account.</t>
  </si>
  <si>
    <t>This fund makes sure the bank gets paid even if the plant shuts down for some time or income goes down.</t>
  </si>
  <si>
    <t>Loan Tenor</t>
  </si>
  <si>
    <t>The total duration allowed to repay the bank loan</t>
  </si>
  <si>
    <t>A 10 year tenor matches the high-revenue phase of the plant, reducing long-term interest costs 
for shareholders.</t>
  </si>
  <si>
    <t>Key Analytical Notes</t>
  </si>
  <si>
    <t>Application in Model</t>
  </si>
  <si>
    <t>Strategic Reason / Logic</t>
  </si>
  <si>
    <t>IDC (Interest During Construction)</t>
  </si>
  <si>
    <t>₹18.38 Cr added to the Asset Base in Year 1.</t>
  </si>
  <si>
    <t>Since the plant isn't earning during construction, the interest is "capitalized" to increase the depreciation 
shield during operations.</t>
  </si>
  <si>
    <t>Duel Revenue Diversification</t>
  </si>
  <si>
    <t>Power Tariff (₹7.5/unit) + Tipping Fee (₹600/ton).</t>
  </si>
  <si>
    <t>Reduces "Single Point Failure" risk. If power demand fluctuates, the Tipping Fee provides a stable 
secondary cash flow.</t>
  </si>
  <si>
    <t>Salvage Value</t>
  </si>
  <si>
    <t>₹25.00 Cr (10% of Capex) realized in Year 16</t>
  </si>
  <si>
    <t>It considers the resale value of land and equipment at the end of the project.</t>
  </si>
  <si>
    <t>Stress Testing (PLF)</t>
  </si>
  <si>
    <t>Testing IRR at 70% Efficiency.</t>
  </si>
  <si>
    <t>Proves resilience; even if plant efficiency drops to 70%, the IRR remains at 15.4%, well above the 
12% cost of capital.</t>
  </si>
  <si>
    <t>Working Capital Release</t>
  </si>
  <si>
    <t>₹6.88 Cr inflow in Year 16.</t>
  </si>
  <si>
    <t>This shows that the cash tied up in the business during operations is released back to investors when 
the project ends.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</si>
</sst>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6">
    <numFmt numFmtId="164" formatCode="\₹\ #,##0.0;\(\₹\ #,##0.0\)"/>
    <numFmt numFmtId="165" formatCode="0.0%"/>
    <numFmt numFmtId="166" formatCode="\₹\ #,##0;\(\₹\ #,##0\)"/>
    <numFmt numFmtId="167" formatCode="&quot;Year &quot;#"/>
    <numFmt numFmtId="168" formatCode="&quot;Year&quot;\ 0"/>
    <numFmt numFmtId="169" formatCode="#,##0;\(#,##0\);&quot;-&quot;"/>
    <numFmt numFmtId="170" formatCode="\₹\ #,##0;\(\₹\ #,##0\);&quot;-&quot;"/>
    <numFmt numFmtId="171" formatCode="_ * #,##0.00_ ;_ * \-#,##0.00_ ;_ * &quot;-&quot;??_ ;_ @_ "/>
    <numFmt numFmtId="172" formatCode="\₹\ #,##0.0;\(\₹\ #,##0.0\);&quot;-&quot;"/>
    <numFmt numFmtId="173" formatCode="#,##0.00;\(#,##0.00\);&quot;-&quot;"/>
    <numFmt numFmtId="174" formatCode="\₹\ #,##0.00;\(\₹\ #,##0.00\);&quot;-&quot;"/>
    <numFmt numFmtId="175" formatCode="_ * #,##0_ ;_ * \-#,##0_ ;_ * &quot;-&quot;??_ ;_ @_ "/>
    <numFmt numFmtId="176" formatCode="#,##0.0;\(#,##0.0\)"/>
    <numFmt numFmtId="177" formatCode="&quot;Year &quot;0"/>
    <numFmt numFmtId="178" formatCode=";;;"/>
    <numFmt numFmtId="179" formatCode="0.0"/>
  </numFmts>
  <fonts count="21">
    <font>
      <sz val="11.0"/>
      <color theme="1"/>
      <name val="Calibri"/>
      <scheme val="minor"/>
    </font>
    <font>
      <sz val="11.0"/>
      <color theme="1"/>
      <name val="Calibri"/>
    </font>
    <font>
      <b/>
      <sz val="20.0"/>
      <color theme="0"/>
      <name val="Calibri"/>
    </font>
    <font/>
    <font>
      <b/>
      <sz val="11.0"/>
      <color theme="0"/>
      <name val="Calibri"/>
    </font>
    <font>
      <b/>
      <sz val="14.0"/>
      <color theme="1"/>
      <name val="Calibri"/>
    </font>
    <font>
      <sz val="12.0"/>
      <color theme="1"/>
      <name val="Calibri"/>
    </font>
    <font>
      <u/>
      <sz val="12.0"/>
      <color theme="10"/>
      <name val="Calibri"/>
    </font>
    <font>
      <u/>
      <sz val="12.0"/>
      <color theme="10"/>
      <name val="Calibri"/>
    </font>
    <font>
      <u/>
      <sz val="12.0"/>
      <color theme="10"/>
      <name val="Calibri"/>
    </font>
    <font>
      <u/>
      <sz val="12.0"/>
      <color theme="10"/>
      <name val="Calibri"/>
    </font>
    <font>
      <b/>
      <sz val="18.0"/>
      <color theme="0"/>
      <name val="Calibri"/>
    </font>
    <font>
      <b/>
      <sz val="11.0"/>
      <color theme="1"/>
      <name val="Calibri"/>
    </font>
    <font>
      <sz val="11.0"/>
      <color rgb="FF0000FF"/>
      <name val="Calibri"/>
    </font>
    <font>
      <b/>
      <sz val="18.0"/>
      <color theme="1"/>
      <name val="Calibri"/>
    </font>
    <font>
      <i/>
      <sz val="11.0"/>
      <color theme="1"/>
      <name val="Calibri"/>
    </font>
    <font>
      <sz val="11.0"/>
      <color rgb="FF0070C0"/>
      <name val="Calibri"/>
    </font>
    <font>
      <b/>
      <sz val="11.0"/>
      <color rgb="FF0070C0"/>
      <name val="Calibri"/>
    </font>
    <font>
      <sz val="10.0"/>
      <color theme="1"/>
      <name val="Arimo"/>
    </font>
    <font>
      <b/>
      <sz val="14.0"/>
      <color theme="0"/>
      <name val="Calibri"/>
    </font>
    <font>
      <b/>
      <sz val="16.0"/>
      <color theme="0"/>
      <name val="Calibri"/>
    </font>
  </fonts>
  <fills count="15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D9E2F3"/>
        <bgColor rgb="FFD9E2F3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rgb="FF9CC2E5"/>
        <bgColor rgb="FF9CC2E5"/>
      </patternFill>
    </fill>
    <fill>
      <patternFill patternType="solid">
        <fgColor rgb="FFF2F2F2"/>
        <bgColor rgb="FFF2F2F2"/>
      </patternFill>
    </fill>
    <fill>
      <patternFill patternType="solid">
        <fgColor rgb="FFE2EFD9"/>
        <bgColor rgb="FFE2EFD9"/>
      </patternFill>
    </fill>
    <fill>
      <patternFill patternType="solid">
        <fgColor rgb="FF2E75B5"/>
        <bgColor rgb="FF2E75B5"/>
      </patternFill>
    </fill>
    <fill>
      <patternFill patternType="solid">
        <fgColor rgb="FFBDD6EE"/>
        <bgColor rgb="FFBDD6EE"/>
      </patternFill>
    </fill>
    <fill>
      <patternFill patternType="solid">
        <fgColor rgb="FF44546A"/>
        <bgColor rgb="FF44546A"/>
      </patternFill>
    </fill>
    <fill>
      <patternFill patternType="solid">
        <fgColor rgb="FFA8D08D"/>
        <bgColor rgb="FFA8D08D"/>
      </patternFill>
    </fill>
    <fill>
      <patternFill patternType="solid">
        <fgColor rgb="FFFBE4D5"/>
        <bgColor rgb="FFFBE4D5"/>
      </patternFill>
    </fill>
  </fills>
  <borders count="57">
    <border/>
    <border>
      <left/>
      <top/>
      <bottom/>
    </border>
    <border>
      <top/>
      <bottom/>
    </border>
    <border>
      <right/>
      <top/>
      <bottom/>
    </border>
    <border>
      <left style="medium">
        <color rgb="FF757070"/>
      </left>
      <top style="medium">
        <color rgb="FF757070"/>
      </top>
      <bottom style="medium">
        <color rgb="FF757070"/>
      </bottom>
    </border>
    <border>
      <top style="medium">
        <color rgb="FF757070"/>
      </top>
      <bottom style="medium">
        <color rgb="FF757070"/>
      </bottom>
    </border>
    <border>
      <right style="medium">
        <color rgb="FF757070"/>
      </right>
      <top style="medium">
        <color rgb="FF757070"/>
      </top>
      <bottom style="medium">
        <color rgb="FF757070"/>
      </bottom>
    </border>
    <border>
      <left style="medium">
        <color rgb="FF757070"/>
      </left>
      <top style="medium">
        <color rgb="FF757070"/>
      </top>
    </border>
    <border>
      <top style="medium">
        <color rgb="FF757070"/>
      </top>
    </border>
    <border>
      <right style="medium">
        <color rgb="FF757070"/>
      </right>
      <top style="medium">
        <color rgb="FF757070"/>
      </top>
    </border>
    <border>
      <left style="medium">
        <color rgb="FF757070"/>
      </left>
    </border>
    <border>
      <right style="medium">
        <color rgb="FF757070"/>
      </right>
    </border>
    <border>
      <left style="medium">
        <color rgb="FF757070"/>
      </left>
      <bottom style="medium">
        <color rgb="FF757070"/>
      </bottom>
    </border>
    <border>
      <bottom style="medium">
        <color rgb="FF757070"/>
      </bottom>
    </border>
    <border>
      <right style="medium">
        <color rgb="FF757070"/>
      </right>
      <bottom style="medium">
        <color rgb="FF757070"/>
      </bottom>
    </border>
    <border>
      <left/>
      <right/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medium">
        <color rgb="FF000000"/>
      </bottom>
    </border>
    <border>
      <left style="dotted">
        <color rgb="FF000000"/>
      </left>
      <right style="dotted">
        <color rgb="FF000000"/>
      </right>
      <top/>
      <bottom style="dotted">
        <color rgb="FF000000"/>
      </bottom>
    </border>
    <border>
      <left/>
      <right/>
      <top/>
      <bottom/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right/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top style="hair">
        <color rgb="FF000000"/>
      </top>
      <bottom style="dotted">
        <color rgb="FF000000"/>
      </bottom>
    </border>
    <border>
      <bottom style="dotted">
        <color rgb="FF000000"/>
      </bottom>
    </border>
    <border>
      <left/>
      <right/>
      <top style="dotted">
        <color rgb="FF000000"/>
      </top>
      <bottom/>
    </border>
    <border>
      <left/>
      <right style="dotted">
        <color rgb="FF000000"/>
      </right>
      <top style="dotted">
        <color rgb="FF000000"/>
      </top>
      <bottom/>
    </border>
    <border>
      <top style="dotted">
        <color rgb="FF000000"/>
      </top>
    </border>
    <border>
      <left/>
      <right/>
      <top/>
      <bottom style="dotted">
        <color rgb="FF000000"/>
      </bottom>
    </border>
    <border>
      <left/>
      <right style="dotted">
        <color rgb="FF000000"/>
      </right>
      <top/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AEABAB"/>
      </right>
      <top style="thin">
        <color rgb="FF8EAADB"/>
      </top>
      <bottom style="thick">
        <color rgb="FF8EAADB"/>
      </bottom>
    </border>
    <border>
      <left style="thin">
        <color rgb="FFAEABAB"/>
      </left>
      <right style="thin">
        <color rgb="FFAEABAB"/>
      </right>
      <top style="thin">
        <color rgb="FF8EAADB"/>
      </top>
      <bottom style="thick">
        <color rgb="FF8EAADB"/>
      </bottom>
    </border>
    <border>
      <left style="thin">
        <color rgb="FFAEABAB"/>
      </left>
      <top style="thin">
        <color rgb="FF8EAADB"/>
      </top>
      <bottom style="thick">
        <color rgb="FF8EAADB"/>
      </bottom>
    </border>
    <border>
      <top style="thin">
        <color rgb="FF8EAADB"/>
      </top>
      <bottom style="thick">
        <color rgb="FF8EAADB"/>
      </bottom>
    </border>
    <border>
      <right/>
      <top style="thin">
        <color rgb="FF8EAADB"/>
      </top>
      <bottom style="thick">
        <color rgb="FF8EAADB"/>
      </bottom>
    </border>
    <border>
      <left style="thin">
        <color rgb="FFAEABAB"/>
      </left>
      <right style="thin">
        <color rgb="FFAEABAB"/>
      </right>
      <bottom style="thin">
        <color rgb="FFAEABAB"/>
      </bottom>
    </border>
    <border>
      <left style="thin">
        <color rgb="FFAEABAB"/>
      </left>
      <bottom style="thin">
        <color rgb="FFAEABAB"/>
      </bottom>
    </border>
    <border>
      <bottom style="thin">
        <color rgb="FFAEABAB"/>
      </bottom>
    </border>
    <border>
      <right style="thin">
        <color rgb="FFAEABAB"/>
      </right>
      <bottom style="thin">
        <color rgb="FFAEABAB"/>
      </bottom>
    </border>
    <border>
      <left style="thin">
        <color rgb="FFAEABAB"/>
      </left>
      <right style="thin">
        <color rgb="FFAEABAB"/>
      </right>
      <top style="thin">
        <color rgb="FFAEABAB"/>
      </top>
    </border>
    <border>
      <left style="thin">
        <color rgb="FFAEABAB"/>
      </left>
      <top style="thin">
        <color rgb="FFAEABAB"/>
      </top>
    </border>
    <border>
      <top style="thin">
        <color rgb="FFAEABAB"/>
      </top>
    </border>
    <border>
      <right style="thin">
        <color rgb="FFAEABAB"/>
      </right>
      <top style="thin">
        <color rgb="FFAEABAB"/>
      </top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</border>
    <border>
      <left style="thin">
        <color rgb="FFAEABAB"/>
      </left>
      <top style="thin">
        <color rgb="FFAEABAB"/>
      </top>
      <bottom style="thin">
        <color rgb="FFAEABAB"/>
      </bottom>
    </border>
    <border>
      <top style="thin">
        <color rgb="FFAEABAB"/>
      </top>
      <bottom style="thin">
        <color rgb="FFAEABAB"/>
      </bottom>
    </border>
    <border>
      <right style="thin">
        <color rgb="FFAEABAB"/>
      </right>
      <top style="thin">
        <color rgb="FFAEABAB"/>
      </top>
      <bottom style="thin">
        <color rgb="FFAEABAB"/>
      </bottom>
    </border>
    <border>
      <left/>
      <right style="thin">
        <color rgb="FFAEABAB"/>
      </right>
      <top style="thin">
        <color rgb="FF8EAADB"/>
      </top>
      <bottom/>
    </border>
    <border>
      <left style="thin">
        <color rgb="FFAEABAB"/>
      </left>
      <right style="thin">
        <color rgb="FFAEABAB"/>
      </right>
      <top style="thin">
        <color rgb="FF8EAADB"/>
      </top>
      <bottom/>
    </border>
    <border>
      <left style="thin">
        <color rgb="FFAEABAB"/>
      </left>
      <top style="thin">
        <color rgb="FF8EAADB"/>
      </top>
      <bottom/>
    </border>
    <border>
      <top style="thin">
        <color rgb="FF8EAADB"/>
      </top>
      <bottom/>
    </border>
    <border>
      <right/>
      <top style="thin">
        <color rgb="FF8EAADB"/>
      </top>
      <bottom/>
    </border>
    <border>
      <left/>
      <top style="thin">
        <color rgb="FF8EAADB"/>
      </top>
      <bottom style="thin">
        <color rgb="FFAEABAB"/>
      </bottom>
    </border>
    <border>
      <right style="thin">
        <color rgb="FFAEABAB"/>
      </right>
      <top style="thin">
        <color rgb="FF8EAADB"/>
      </top>
      <bottom style="thin">
        <color rgb="FFAEABAB"/>
      </bottom>
    </border>
  </borders>
  <cellStyleXfs count="1">
    <xf borderId="0" fillId="0" fontId="0" numFmtId="0" applyAlignment="1" applyFont="1"/>
  </cellStyleXfs>
  <cellXfs count="16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2" fontId="4" numFmtId="0" xfId="0" applyAlignment="1" applyBorder="1" applyFont="1">
      <alignment horizontal="center"/>
    </xf>
    <xf borderId="4" fillId="3" fontId="5" numFmtId="0" xfId="0" applyAlignment="1" applyBorder="1" applyFill="1" applyFont="1">
      <alignment horizontal="center"/>
    </xf>
    <xf borderId="5" fillId="0" fontId="3" numFmtId="0" xfId="0" applyBorder="1" applyFont="1"/>
    <xf borderId="6" fillId="0" fontId="3" numFmtId="0" xfId="0" applyBorder="1" applyFont="1"/>
    <xf borderId="4" fillId="0" fontId="6" numFmtId="0" xfId="0" applyAlignment="1" applyBorder="1" applyFont="1">
      <alignment vertical="top"/>
    </xf>
    <xf borderId="5" fillId="0" fontId="6" numFmtId="0" xfId="0" applyAlignment="1" applyBorder="1" applyFont="1">
      <alignment vertical="top"/>
    </xf>
    <xf borderId="6" fillId="0" fontId="6" numFmtId="0" xfId="0" applyAlignment="1" applyBorder="1" applyFont="1">
      <alignment vertical="top"/>
    </xf>
    <xf borderId="4" fillId="0" fontId="6" numFmtId="0" xfId="0" applyAlignment="1" applyBorder="1" applyFont="1">
      <alignment horizontal="center" vertical="top"/>
    </xf>
    <xf borderId="7" fillId="0" fontId="7" numFmtId="0" xfId="0" applyBorder="1" applyFont="1"/>
    <xf borderId="8" fillId="0" fontId="1" numFmtId="0" xfId="0" applyBorder="1" applyFont="1"/>
    <xf borderId="9" fillId="0" fontId="1" numFmtId="0" xfId="0" applyBorder="1" applyFont="1"/>
    <xf borderId="10" fillId="0" fontId="8" numFmtId="0" xfId="0" applyBorder="1" applyFont="1"/>
    <xf borderId="11" fillId="0" fontId="1" numFmtId="0" xfId="0" applyBorder="1" applyFont="1"/>
    <xf borderId="10" fillId="0" fontId="9" numFmtId="0" xfId="0" applyAlignment="1" applyBorder="1" applyFont="1">
      <alignment horizontal="left"/>
    </xf>
    <xf borderId="12" fillId="0" fontId="10" numFmtId="0" xfId="0" applyBorder="1" applyFont="1"/>
    <xf borderId="13" fillId="0" fontId="1" numFmtId="0" xfId="0" applyBorder="1" applyFont="1"/>
    <xf borderId="14" fillId="0" fontId="1" numFmtId="0" xfId="0" applyBorder="1" applyFont="1"/>
    <xf borderId="15" fillId="4" fontId="11" numFmtId="0" xfId="0" applyAlignment="1" applyBorder="1" applyFill="1" applyFont="1">
      <alignment vertical="center"/>
    </xf>
    <xf borderId="16" fillId="4" fontId="11" numFmtId="0" xfId="0" applyAlignment="1" applyBorder="1" applyFont="1">
      <alignment horizontal="right" vertical="center"/>
    </xf>
    <xf borderId="17" fillId="5" fontId="12" numFmtId="0" xfId="0" applyBorder="1" applyFill="1" applyFont="1"/>
    <xf borderId="0" fillId="0" fontId="1" numFmtId="0" xfId="0" applyAlignment="1" applyFont="1">
      <alignment horizontal="left"/>
    </xf>
    <xf borderId="18" fillId="6" fontId="13" numFmtId="0" xfId="0" applyBorder="1" applyFill="1" applyFont="1"/>
    <xf borderId="18" fillId="6" fontId="13" numFmtId="9" xfId="0" applyBorder="1" applyFont="1" applyNumberFormat="1"/>
    <xf borderId="18" fillId="6" fontId="13" numFmtId="10" xfId="0" applyBorder="1" applyFont="1" applyNumberFormat="1"/>
    <xf borderId="18" fillId="6" fontId="13" numFmtId="164" xfId="0" applyBorder="1" applyFont="1" applyNumberFormat="1"/>
    <xf borderId="18" fillId="6" fontId="1" numFmtId="164" xfId="0" applyBorder="1" applyFont="1" applyNumberFormat="1"/>
    <xf borderId="18" fillId="6" fontId="13" numFmtId="165" xfId="0" applyBorder="1" applyFont="1" applyNumberFormat="1"/>
    <xf borderId="18" fillId="6" fontId="1" numFmtId="0" xfId="0" applyBorder="1" applyFont="1"/>
    <xf borderId="18" fillId="6" fontId="13" numFmtId="166" xfId="0" applyBorder="1" applyFont="1" applyNumberFormat="1"/>
    <xf borderId="19" fillId="7" fontId="14" numFmtId="0" xfId="0" applyBorder="1" applyFill="1" applyFont="1"/>
    <xf borderId="15" fillId="5" fontId="12" numFmtId="167" xfId="0" applyBorder="1" applyFont="1" applyNumberFormat="1"/>
    <xf borderId="16" fillId="8" fontId="12" numFmtId="168" xfId="0" applyBorder="1" applyFill="1" applyFont="1" applyNumberFormat="1"/>
    <xf borderId="15" fillId="8" fontId="12" numFmtId="168" xfId="0" applyBorder="1" applyFont="1" applyNumberFormat="1"/>
    <xf borderId="20" fillId="8" fontId="12" numFmtId="168" xfId="0" applyBorder="1" applyFont="1" applyNumberFormat="1"/>
    <xf borderId="15" fillId="5" fontId="15" numFmtId="0" xfId="0" applyBorder="1" applyFont="1"/>
    <xf borderId="15" fillId="5" fontId="12" numFmtId="0" xfId="0" applyBorder="1" applyFont="1"/>
    <xf borderId="15" fillId="5" fontId="15" numFmtId="169" xfId="0" applyBorder="1" applyFont="1" applyNumberFormat="1"/>
    <xf borderId="15" fillId="5" fontId="1" numFmtId="0" xfId="0" applyBorder="1" applyFont="1"/>
    <xf borderId="15" fillId="5" fontId="1" numFmtId="170" xfId="0" applyBorder="1" applyFont="1" applyNumberFormat="1"/>
    <xf borderId="15" fillId="5" fontId="16" numFmtId="9" xfId="0" applyBorder="1" applyFont="1" applyNumberFormat="1"/>
    <xf borderId="15" fillId="5" fontId="1" numFmtId="171" xfId="0" applyBorder="1" applyFont="1" applyNumberFormat="1"/>
    <xf borderId="19" fillId="9" fontId="12" numFmtId="0" xfId="0" applyAlignment="1" applyBorder="1" applyFill="1" applyFont="1">
      <alignment horizontal="left"/>
    </xf>
    <xf borderId="19" fillId="9" fontId="12" numFmtId="0" xfId="0" applyBorder="1" applyFont="1"/>
    <xf borderId="19" fillId="9" fontId="12" numFmtId="170" xfId="0" applyBorder="1" applyFont="1" applyNumberFormat="1"/>
    <xf borderId="19" fillId="9" fontId="12" numFmtId="172" xfId="0" applyBorder="1" applyFont="1" applyNumberFormat="1"/>
    <xf borderId="15" fillId="0" fontId="12" numFmtId="173" xfId="0" applyBorder="1" applyFont="1" applyNumberFormat="1"/>
    <xf borderId="15" fillId="5" fontId="1" numFmtId="174" xfId="0" applyBorder="1" applyFont="1" applyNumberFormat="1"/>
    <xf borderId="19" fillId="9" fontId="12" numFmtId="173" xfId="0" applyBorder="1" applyFont="1" applyNumberFormat="1"/>
    <xf borderId="19" fillId="9" fontId="12" numFmtId="174" xfId="0" applyBorder="1" applyFont="1" applyNumberFormat="1"/>
    <xf borderId="15" fillId="0" fontId="1" numFmtId="173" xfId="0" applyBorder="1" applyFont="1" applyNumberFormat="1"/>
    <xf borderId="15" fillId="9" fontId="12" numFmtId="175" xfId="0" applyBorder="1" applyFont="1" applyNumberFormat="1"/>
    <xf borderId="15" fillId="9" fontId="17" numFmtId="175" xfId="0" applyBorder="1" applyFont="1" applyNumberFormat="1"/>
    <xf borderId="15" fillId="9" fontId="12" numFmtId="174" xfId="0" applyBorder="1" applyFont="1" applyNumberFormat="1"/>
    <xf borderId="16" fillId="8" fontId="12" numFmtId="167" xfId="0" applyBorder="1" applyFont="1" applyNumberFormat="1"/>
    <xf borderId="15" fillId="8" fontId="12" numFmtId="167" xfId="0" applyBorder="1" applyFont="1" applyNumberFormat="1"/>
    <xf borderId="20" fillId="8" fontId="12" numFmtId="167" xfId="0" applyBorder="1" applyFont="1" applyNumberFormat="1"/>
    <xf borderId="15" fillId="5" fontId="15" numFmtId="173" xfId="0" applyBorder="1" applyFont="1" applyNumberFormat="1"/>
    <xf borderId="21" fillId="6" fontId="1" numFmtId="166" xfId="0" applyBorder="1" applyFont="1" applyNumberFormat="1"/>
    <xf borderId="21" fillId="6" fontId="1" numFmtId="0" xfId="0" applyBorder="1" applyFont="1"/>
    <xf borderId="21" fillId="6" fontId="1" numFmtId="165" xfId="0" applyBorder="1" applyFont="1" applyNumberFormat="1"/>
    <xf borderId="19" fillId="5" fontId="1" numFmtId="0" xfId="0" applyBorder="1" applyFont="1"/>
    <xf borderId="0" fillId="0" fontId="1" numFmtId="165" xfId="0" applyFont="1" applyNumberFormat="1"/>
    <xf borderId="19" fillId="5" fontId="12" numFmtId="0" xfId="0" applyBorder="1" applyFont="1"/>
    <xf borderId="22" fillId="5" fontId="1" numFmtId="0" xfId="0" applyBorder="1" applyFont="1"/>
    <xf borderId="23" fillId="0" fontId="1" numFmtId="176" xfId="0" applyBorder="1" applyFont="1" applyNumberFormat="1"/>
    <xf borderId="23" fillId="0" fontId="1" numFmtId="174" xfId="0" applyBorder="1" applyFont="1" applyNumberFormat="1"/>
    <xf borderId="23" fillId="0" fontId="1" numFmtId="174" xfId="0" applyAlignment="1" applyBorder="1" applyFont="1" applyNumberFormat="1">
      <alignment horizontal="right"/>
    </xf>
    <xf borderId="22" fillId="0" fontId="1" numFmtId="174" xfId="0" applyBorder="1" applyFont="1" applyNumberFormat="1"/>
    <xf borderId="0" fillId="0" fontId="18" numFmtId="174" xfId="0" applyFont="1" applyNumberFormat="1"/>
    <xf borderId="0" fillId="0" fontId="12" numFmtId="0" xfId="0" applyFont="1"/>
    <xf borderId="22" fillId="9" fontId="12" numFmtId="0" xfId="0" applyAlignment="1" applyBorder="1" applyFont="1">
      <alignment horizontal="left"/>
    </xf>
    <xf borderId="22" fillId="9" fontId="12" numFmtId="174" xfId="0" applyBorder="1" applyFont="1" applyNumberFormat="1"/>
    <xf borderId="22" fillId="9" fontId="12" numFmtId="174" xfId="0" applyAlignment="1" applyBorder="1" applyFont="1" applyNumberFormat="1">
      <alignment horizontal="right"/>
    </xf>
    <xf borderId="16" fillId="8" fontId="12" numFmtId="177" xfId="0" applyBorder="1" applyFont="1" applyNumberFormat="1"/>
    <xf borderId="0" fillId="0" fontId="15" numFmtId="0" xfId="0" applyFont="1"/>
    <xf borderId="24" fillId="0" fontId="15" numFmtId="0" xfId="0" applyBorder="1" applyFont="1"/>
    <xf borderId="25" fillId="0" fontId="15" numFmtId="176" xfId="0" applyBorder="1" applyFont="1" applyNumberFormat="1"/>
    <xf borderId="25" fillId="0" fontId="15" numFmtId="174" xfId="0" applyBorder="1" applyFont="1" applyNumberFormat="1"/>
    <xf borderId="23" fillId="0" fontId="1" numFmtId="0" xfId="0" applyBorder="1" applyFont="1"/>
    <xf borderId="22" fillId="9" fontId="12" numFmtId="0" xfId="0" applyBorder="1" applyFont="1"/>
    <xf borderId="22" fillId="9" fontId="12" numFmtId="176" xfId="0" applyBorder="1" applyFont="1" applyNumberFormat="1"/>
    <xf borderId="23" fillId="0" fontId="1" numFmtId="176" xfId="0" applyAlignment="1" applyBorder="1" applyFont="1" applyNumberFormat="1">
      <alignment readingOrder="0"/>
    </xf>
    <xf borderId="23" fillId="0" fontId="1" numFmtId="172" xfId="0" applyBorder="1" applyFont="1" applyNumberFormat="1"/>
    <xf borderId="22" fillId="9" fontId="12" numFmtId="172" xfId="0" applyBorder="1" applyFont="1" applyNumberFormat="1"/>
    <xf borderId="26" fillId="10" fontId="4" numFmtId="0" xfId="0" applyBorder="1" applyFill="1" applyFont="1"/>
    <xf borderId="27" fillId="10" fontId="4" numFmtId="165" xfId="0" applyBorder="1" applyFont="1" applyNumberFormat="1"/>
    <xf borderId="28" fillId="0" fontId="1" numFmtId="2" xfId="0" applyBorder="1" applyFont="1" applyNumberFormat="1"/>
    <xf borderId="29" fillId="10" fontId="4" numFmtId="0" xfId="0" applyBorder="1" applyFont="1"/>
    <xf borderId="30" fillId="10" fontId="4" numFmtId="172" xfId="0" applyBorder="1" applyFont="1" applyNumberFormat="1"/>
    <xf borderId="0" fillId="0" fontId="1" numFmtId="2" xfId="0" applyFont="1" applyNumberFormat="1"/>
    <xf borderId="0" fillId="0" fontId="1" numFmtId="9" xfId="0" applyFont="1" applyNumberFormat="1"/>
    <xf borderId="1" fillId="11" fontId="12" numFmtId="0" xfId="0" applyAlignment="1" applyBorder="1" applyFill="1" applyFont="1">
      <alignment horizontal="center"/>
    </xf>
    <xf borderId="0" fillId="0" fontId="1" numFmtId="178" xfId="0" applyAlignment="1" applyFont="1" applyNumberFormat="1">
      <alignment horizontal="right" vertical="top"/>
    </xf>
    <xf borderId="0" fillId="0" fontId="1" numFmtId="178" xfId="0" applyFont="1" applyNumberFormat="1"/>
    <xf borderId="31" fillId="0" fontId="13" numFmtId="9" xfId="0" applyAlignment="1" applyBorder="1" applyFont="1" applyNumberFormat="1">
      <alignment horizontal="left" vertical="top"/>
    </xf>
    <xf borderId="31" fillId="0" fontId="1" numFmtId="165" xfId="0" applyAlignment="1" applyBorder="1" applyFont="1" applyNumberFormat="1">
      <alignment horizontal="right"/>
    </xf>
    <xf borderId="32" fillId="0" fontId="13" numFmtId="164" xfId="0" applyAlignment="1" applyBorder="1" applyFont="1" applyNumberFormat="1">
      <alignment horizontal="left"/>
    </xf>
    <xf borderId="31" fillId="0" fontId="1" numFmtId="9" xfId="0" applyBorder="1" applyFont="1" applyNumberFormat="1"/>
    <xf borderId="31" fillId="0" fontId="1" numFmtId="165" xfId="0" applyBorder="1" applyFont="1" applyNumberFormat="1"/>
    <xf borderId="31" fillId="5" fontId="13" numFmtId="9" xfId="0" applyAlignment="1" applyBorder="1" applyFont="1" applyNumberFormat="1">
      <alignment horizontal="left" vertical="top"/>
    </xf>
    <xf borderId="31" fillId="5" fontId="1" numFmtId="165" xfId="0" applyAlignment="1" applyBorder="1" applyFont="1" applyNumberFormat="1">
      <alignment horizontal="right"/>
    </xf>
    <xf borderId="31" fillId="5" fontId="13" numFmtId="164" xfId="0" applyAlignment="1" applyBorder="1" applyFont="1" applyNumberFormat="1">
      <alignment horizontal="left"/>
    </xf>
    <xf borderId="31" fillId="5" fontId="1" numFmtId="9" xfId="0" applyBorder="1" applyFont="1" applyNumberFormat="1"/>
    <xf borderId="31" fillId="5" fontId="1" numFmtId="165" xfId="0" applyBorder="1" applyFont="1" applyNumberFormat="1"/>
    <xf borderId="1" fillId="12" fontId="19" numFmtId="0" xfId="0" applyAlignment="1" applyBorder="1" applyFill="1" applyFont="1">
      <alignment horizontal="center"/>
    </xf>
    <xf borderId="31" fillId="13" fontId="13" numFmtId="9" xfId="0" applyAlignment="1" applyBorder="1" applyFill="1" applyFont="1" applyNumberFormat="1">
      <alignment horizontal="left" vertical="top"/>
    </xf>
    <xf borderId="31" fillId="13" fontId="1" numFmtId="165" xfId="0" applyAlignment="1" applyBorder="1" applyFont="1" applyNumberFormat="1">
      <alignment horizontal="right"/>
    </xf>
    <xf borderId="31" fillId="13" fontId="13" numFmtId="164" xfId="0" applyAlignment="1" applyBorder="1" applyFont="1" applyNumberFormat="1">
      <alignment horizontal="left"/>
    </xf>
    <xf borderId="31" fillId="13" fontId="1" numFmtId="9" xfId="0" applyBorder="1" applyFont="1" applyNumberFormat="1"/>
    <xf borderId="31" fillId="13" fontId="1" numFmtId="165" xfId="0" applyBorder="1" applyFont="1" applyNumberFormat="1"/>
    <xf borderId="31" fillId="0" fontId="13" numFmtId="164" xfId="0" applyAlignment="1" applyBorder="1" applyFont="1" applyNumberFormat="1">
      <alignment horizontal="left"/>
    </xf>
    <xf borderId="1" fillId="2" fontId="20" numFmtId="0" xfId="0" applyAlignment="1" applyBorder="1" applyFont="1">
      <alignment horizontal="left"/>
    </xf>
    <xf borderId="19" fillId="10" fontId="4" numFmtId="0" xfId="0" applyBorder="1" applyFont="1"/>
    <xf borderId="33" fillId="14" fontId="12" numFmtId="0" xfId="0" applyBorder="1" applyFill="1" applyFont="1"/>
    <xf borderId="34" fillId="14" fontId="12" numFmtId="0" xfId="0" applyAlignment="1" applyBorder="1" applyFont="1">
      <alignment horizontal="center"/>
    </xf>
    <xf borderId="34" fillId="14" fontId="12" numFmtId="0" xfId="0" applyBorder="1" applyFont="1"/>
    <xf borderId="35" fillId="14" fontId="12" numFmtId="0" xfId="0" applyAlignment="1" applyBorder="1" applyFont="1">
      <alignment horizontal="left"/>
    </xf>
    <xf borderId="36" fillId="0" fontId="3" numFmtId="0" xfId="0" applyBorder="1" applyFont="1"/>
    <xf borderId="37" fillId="0" fontId="3" numFmtId="0" xfId="0" applyBorder="1" applyFont="1"/>
    <xf borderId="38" fillId="0" fontId="1" numFmtId="0" xfId="0" applyBorder="1" applyFont="1"/>
    <xf borderId="38" fillId="0" fontId="1" numFmtId="0" xfId="0" applyAlignment="1" applyBorder="1" applyFont="1">
      <alignment horizontal="center"/>
    </xf>
    <xf borderId="39" fillId="0" fontId="1" numFmtId="0" xfId="0" applyAlignment="1" applyBorder="1" applyFont="1">
      <alignment horizontal="left"/>
    </xf>
    <xf borderId="40" fillId="0" fontId="3" numFmtId="0" xfId="0" applyBorder="1" applyFont="1"/>
    <xf borderId="41" fillId="0" fontId="3" numFmtId="0" xfId="0" applyBorder="1" applyFont="1"/>
    <xf borderId="42" fillId="0" fontId="1" numFmtId="0" xfId="0" applyAlignment="1" applyBorder="1" applyFont="1">
      <alignment horizontal="left" vertical="center"/>
    </xf>
    <xf borderId="42" fillId="0" fontId="1" numFmtId="172" xfId="0" applyAlignment="1" applyBorder="1" applyFont="1" applyNumberFormat="1">
      <alignment horizontal="center" vertical="center"/>
    </xf>
    <xf borderId="42" fillId="0" fontId="1" numFmtId="0" xfId="0" applyAlignment="1" applyBorder="1" applyFont="1">
      <alignment horizontal="left" shrinkToFit="0" wrapText="1"/>
    </xf>
    <xf borderId="43" fillId="0" fontId="1" numFmtId="0" xfId="0" applyAlignment="1" applyBorder="1" applyFont="1">
      <alignment horizontal="left" shrinkToFit="0" vertical="top" wrapText="1"/>
    </xf>
    <xf borderId="44" fillId="0" fontId="3" numFmtId="0" xfId="0" applyBorder="1" applyFont="1"/>
    <xf borderId="45" fillId="0" fontId="3" numFmtId="0" xfId="0" applyBorder="1" applyFont="1"/>
    <xf borderId="38" fillId="0" fontId="3" numFmtId="0" xfId="0" applyBorder="1" applyFont="1"/>
    <xf borderId="39" fillId="0" fontId="3" numFmtId="0" xfId="0" applyBorder="1" applyFont="1"/>
    <xf borderId="46" fillId="0" fontId="1" numFmtId="0" xfId="0" applyBorder="1" applyFont="1"/>
    <xf quotePrefix="1" borderId="46" fillId="0" fontId="1" numFmtId="0" xfId="0" applyAlignment="1" applyBorder="1" applyFont="1">
      <alignment horizontal="center"/>
    </xf>
    <xf borderId="47" fillId="0" fontId="1" numFmtId="0" xfId="0" applyAlignment="1" applyBorder="1" applyFont="1">
      <alignment horizontal="left"/>
    </xf>
    <xf borderId="48" fillId="0" fontId="3" numFmtId="0" xfId="0" applyBorder="1" applyFont="1"/>
    <xf borderId="49" fillId="0" fontId="3" numFmtId="0" xfId="0" applyBorder="1" applyFont="1"/>
    <xf borderId="0" fillId="0" fontId="1" numFmtId="0" xfId="0" applyAlignment="1" applyFont="1">
      <alignment horizontal="center"/>
    </xf>
    <xf borderId="50" fillId="14" fontId="12" numFmtId="0" xfId="0" applyBorder="1" applyFont="1"/>
    <xf borderId="51" fillId="14" fontId="12" numFmtId="0" xfId="0" applyAlignment="1" applyBorder="1" applyFont="1">
      <alignment horizontal="center"/>
    </xf>
    <xf borderId="51" fillId="14" fontId="12" numFmtId="0" xfId="0" applyBorder="1" applyFont="1"/>
    <xf borderId="52" fillId="14" fontId="12" numFmtId="0" xfId="0" applyAlignment="1" applyBorder="1" applyFont="1">
      <alignment horizontal="left"/>
    </xf>
    <xf borderId="53" fillId="0" fontId="3" numFmtId="0" xfId="0" applyBorder="1" applyFont="1"/>
    <xf borderId="54" fillId="0" fontId="3" numFmtId="0" xfId="0" applyBorder="1" applyFont="1"/>
    <xf borderId="46" fillId="0" fontId="1" numFmtId="165" xfId="0" applyAlignment="1" applyBorder="1" applyFont="1" applyNumberFormat="1">
      <alignment horizontal="center"/>
    </xf>
    <xf borderId="46" fillId="0" fontId="1" numFmtId="172" xfId="0" applyAlignment="1" applyBorder="1" applyFont="1" applyNumberFormat="1">
      <alignment horizontal="center"/>
    </xf>
    <xf borderId="46" fillId="0" fontId="1" numFmtId="0" xfId="0" applyAlignment="1" applyBorder="1" applyFont="1">
      <alignment horizontal="center"/>
    </xf>
    <xf borderId="46" fillId="0" fontId="1" numFmtId="2" xfId="0" applyAlignment="1" applyBorder="1" applyFont="1" applyNumberFormat="1">
      <alignment horizontal="center"/>
    </xf>
    <xf borderId="46" fillId="0" fontId="1" numFmtId="179" xfId="0" applyAlignment="1" applyBorder="1" applyFont="1" applyNumberFormat="1">
      <alignment horizontal="center"/>
    </xf>
    <xf borderId="42" fillId="0" fontId="1" numFmtId="0" xfId="0" applyAlignment="1" applyBorder="1" applyFont="1">
      <alignment horizontal="center" vertical="center"/>
    </xf>
    <xf borderId="42" fillId="0" fontId="1" numFmtId="0" xfId="0" applyAlignment="1" applyBorder="1" applyFont="1">
      <alignment horizontal="left" vertical="top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top"/>
    </xf>
    <xf borderId="55" fillId="14" fontId="12" numFmtId="0" xfId="0" applyAlignment="1" applyBorder="1" applyFont="1">
      <alignment horizontal="left"/>
    </xf>
    <xf borderId="56" fillId="0" fontId="3" numFmtId="0" xfId="0" applyBorder="1" applyFont="1"/>
    <xf borderId="43" fillId="0" fontId="1" numFmtId="0" xfId="0" applyAlignment="1" applyBorder="1" applyFont="1">
      <alignment horizontal="left" vertical="center"/>
    </xf>
    <xf borderId="46" fillId="0" fontId="1" numFmtId="0" xfId="0" applyAlignment="1" applyBorder="1" applyFont="1">
      <alignment horizontal="left" vertical="center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29"/>
    <col customWidth="1" min="2" max="10" width="8.86"/>
    <col customWidth="1" min="11" max="11" width="16.71"/>
    <col customWidth="1" min="12" max="26" width="8.71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5" t="s">
        <v>1</v>
      </c>
      <c r="C4" s="3"/>
      <c r="D4" s="3"/>
      <c r="E4" s="3"/>
      <c r="F4" s="3"/>
      <c r="G4" s="3"/>
      <c r="H4" s="3"/>
      <c r="I4" s="3"/>
      <c r="J4" s="3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8.75" customHeight="1">
      <c r="A6" s="1"/>
      <c r="B6" s="6" t="s">
        <v>2</v>
      </c>
      <c r="C6" s="7"/>
      <c r="D6" s="7"/>
      <c r="E6" s="7"/>
      <c r="F6" s="7"/>
      <c r="G6" s="7"/>
      <c r="H6" s="7"/>
      <c r="I6" s="7"/>
      <c r="J6" s="7"/>
      <c r="K6" s="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1"/>
      <c r="B7" s="9" t="s">
        <v>3</v>
      </c>
      <c r="C7" s="10"/>
      <c r="D7" s="10"/>
      <c r="E7" s="10"/>
      <c r="F7" s="10"/>
      <c r="G7" s="11"/>
      <c r="H7" s="12" t="s">
        <v>4</v>
      </c>
      <c r="I7" s="7"/>
      <c r="J7" s="7"/>
      <c r="K7" s="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8.75" customHeight="1">
      <c r="A8" s="1"/>
      <c r="B8" s="9" t="s">
        <v>5</v>
      </c>
      <c r="C8" s="10"/>
      <c r="D8" s="10"/>
      <c r="E8" s="10"/>
      <c r="F8" s="10"/>
      <c r="G8" s="11"/>
      <c r="H8" s="12" t="s">
        <v>6</v>
      </c>
      <c r="I8" s="7"/>
      <c r="J8" s="7"/>
      <c r="K8" s="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8.75" customHeight="1">
      <c r="A9" s="1"/>
      <c r="B9" s="9" t="s">
        <v>7</v>
      </c>
      <c r="C9" s="10"/>
      <c r="D9" s="10"/>
      <c r="E9" s="10"/>
      <c r="F9" s="10"/>
      <c r="G9" s="11"/>
      <c r="H9" s="12" t="s">
        <v>8</v>
      </c>
      <c r="I9" s="7"/>
      <c r="J9" s="7"/>
      <c r="K9" s="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8.75" customHeight="1">
      <c r="A10" s="1"/>
      <c r="B10" s="9" t="s">
        <v>9</v>
      </c>
      <c r="C10" s="10"/>
      <c r="D10" s="10"/>
      <c r="E10" s="10"/>
      <c r="F10" s="10"/>
      <c r="G10" s="11"/>
      <c r="H10" s="12" t="s">
        <v>10</v>
      </c>
      <c r="I10" s="7"/>
      <c r="J10" s="7"/>
      <c r="K10" s="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6" t="s">
        <v>11</v>
      </c>
      <c r="C13" s="7"/>
      <c r="D13" s="7"/>
      <c r="E13" s="7"/>
      <c r="F13" s="7"/>
      <c r="G13" s="7"/>
      <c r="H13" s="7"/>
      <c r="I13" s="7"/>
      <c r="J13" s="7"/>
      <c r="K13" s="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13" t="s">
        <v>12</v>
      </c>
      <c r="C14" s="14"/>
      <c r="D14" s="14"/>
      <c r="E14" s="14"/>
      <c r="F14" s="14"/>
      <c r="G14" s="14"/>
      <c r="H14" s="14"/>
      <c r="I14" s="14"/>
      <c r="J14" s="14"/>
      <c r="K14" s="1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5.25" customHeight="1">
      <c r="A15" s="1"/>
      <c r="B15" s="16"/>
      <c r="C15" s="1"/>
      <c r="D15" s="1"/>
      <c r="E15" s="1"/>
      <c r="F15" s="1"/>
      <c r="G15" s="1"/>
      <c r="H15" s="1"/>
      <c r="I15" s="1"/>
      <c r="J15" s="1"/>
      <c r="K15" s="1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16" t="s">
        <v>13</v>
      </c>
      <c r="C16" s="1"/>
      <c r="D16" s="1"/>
      <c r="E16" s="1"/>
      <c r="F16" s="1"/>
      <c r="G16" s="1"/>
      <c r="H16" s="1"/>
      <c r="I16" s="1"/>
      <c r="J16" s="1"/>
      <c r="K16" s="1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3.5" customHeight="1">
      <c r="A17" s="1"/>
      <c r="B17" s="18" t="s">
        <v>14</v>
      </c>
      <c r="C17" s="1"/>
      <c r="D17" s="1"/>
      <c r="E17" s="1"/>
      <c r="F17" s="1"/>
      <c r="G17" s="1"/>
      <c r="H17" s="1"/>
      <c r="I17" s="1"/>
      <c r="J17" s="1"/>
      <c r="K17" s="1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18" t="s">
        <v>15</v>
      </c>
      <c r="C18" s="1"/>
      <c r="D18" s="1"/>
      <c r="E18" s="1"/>
      <c r="F18" s="1"/>
      <c r="G18" s="1"/>
      <c r="H18" s="1"/>
      <c r="I18" s="1"/>
      <c r="J18" s="1"/>
      <c r="K18" s="1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18" t="s">
        <v>16</v>
      </c>
      <c r="C19" s="1"/>
      <c r="D19" s="1"/>
      <c r="E19" s="1"/>
      <c r="F19" s="1"/>
      <c r="G19" s="1"/>
      <c r="H19" s="1"/>
      <c r="I19" s="1"/>
      <c r="J19" s="1"/>
      <c r="K19" s="1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18" t="s">
        <v>17</v>
      </c>
      <c r="C20" s="1"/>
      <c r="D20" s="1"/>
      <c r="E20" s="1"/>
      <c r="F20" s="1"/>
      <c r="G20" s="1"/>
      <c r="H20" s="1"/>
      <c r="I20" s="1"/>
      <c r="J20" s="1"/>
      <c r="K20" s="1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18" t="s">
        <v>18</v>
      </c>
      <c r="C21" s="1"/>
      <c r="D21" s="1"/>
      <c r="E21" s="1"/>
      <c r="F21" s="1"/>
      <c r="G21" s="1"/>
      <c r="H21" s="1"/>
      <c r="I21" s="1"/>
      <c r="J21" s="1"/>
      <c r="K21" s="1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18" t="s">
        <v>19</v>
      </c>
      <c r="C22" s="1"/>
      <c r="D22" s="1"/>
      <c r="E22" s="1"/>
      <c r="F22" s="1"/>
      <c r="G22" s="1"/>
      <c r="H22" s="1"/>
      <c r="I22" s="1"/>
      <c r="J22" s="1"/>
      <c r="K22" s="1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18" t="s">
        <v>20</v>
      </c>
      <c r="C23" s="1"/>
      <c r="D23" s="1"/>
      <c r="E23" s="1"/>
      <c r="F23" s="1"/>
      <c r="G23" s="1"/>
      <c r="H23" s="1"/>
      <c r="I23" s="1"/>
      <c r="J23" s="1"/>
      <c r="K23" s="1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18" t="s">
        <v>21</v>
      </c>
      <c r="C24" s="1"/>
      <c r="D24" s="1"/>
      <c r="E24" s="1"/>
      <c r="F24" s="1"/>
      <c r="G24" s="1"/>
      <c r="H24" s="1"/>
      <c r="I24" s="1"/>
      <c r="J24" s="1"/>
      <c r="K24" s="1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18" t="s">
        <v>22</v>
      </c>
      <c r="C25" s="1"/>
      <c r="D25" s="1"/>
      <c r="E25" s="1"/>
      <c r="F25" s="1"/>
      <c r="G25" s="1"/>
      <c r="H25" s="1"/>
      <c r="I25" s="1"/>
      <c r="J25" s="1"/>
      <c r="K25" s="1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6.0" customHeight="1">
      <c r="A26" s="1"/>
      <c r="B26" s="18"/>
      <c r="C26" s="1"/>
      <c r="D26" s="1"/>
      <c r="E26" s="1"/>
      <c r="F26" s="1"/>
      <c r="G26" s="1"/>
      <c r="H26" s="1"/>
      <c r="I26" s="1"/>
      <c r="J26" s="1"/>
      <c r="K26" s="1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9" t="s">
        <v>23</v>
      </c>
      <c r="C27" s="20"/>
      <c r="D27" s="20"/>
      <c r="E27" s="20"/>
      <c r="F27" s="20"/>
      <c r="G27" s="20"/>
      <c r="H27" s="20"/>
      <c r="I27" s="20"/>
      <c r="J27" s="20"/>
      <c r="K27" s="2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B2:K2"/>
    <mergeCell ref="B4:K4"/>
    <mergeCell ref="B6:K6"/>
    <mergeCell ref="H7:K7"/>
    <mergeCell ref="H8:K8"/>
    <mergeCell ref="H9:K9"/>
    <mergeCell ref="H10:K10"/>
    <mergeCell ref="B13:K13"/>
  </mergeCells>
  <hyperlinks>
    <hyperlink display="Cover Page" location="Cover!A1" ref="B14"/>
    <hyperlink display="Project Finance Model" location="'Project Finance Model'!A1" ref="B16"/>
    <hyperlink display="Project Assumptions" location="Google_Sheet_Link_969954909" ref="B17"/>
    <hyperlink display="Energy &amp; Revenue" location="Google_Sheet_Link_917777029" ref="B18"/>
    <hyperlink display="Operation &amp; Maintance Cost" location="Google_Sheet_Link_1234735610" ref="B19"/>
    <hyperlink display="Working Capital" location="Google_Sheet_Link_535406993" ref="B20"/>
    <hyperlink display="CapEx &amp; Depreciation" location="Google_Sheet_Link_1310237703" ref="B21"/>
    <hyperlink display="Financing &amp; Debt Shedule" location="Google_Sheet_Link_968409308" ref="B22"/>
    <hyperlink display="Cash Flow &amp; DSCR" location="Google_Sheet_Link_364827424" ref="B23"/>
    <hyperlink display="Equity Return (IRR &amp; NPV)" location="Google_Sheet_Link_1108410130" ref="B24"/>
    <hyperlink display="Sensitivity Analysis" location="Google_Sheet_Link_1698018089" ref="B25"/>
    <hyperlink display="Executive Summary" location="'Executive Summary'!A1" ref="B27"/>
  </hyperlink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 outlineLevelRow="1"/>
  <cols>
    <col customWidth="1" min="1" max="1" width="2.29"/>
    <col customWidth="1" min="2" max="2" width="80.71"/>
    <col customWidth="1" min="3" max="3" width="34.43"/>
    <col customWidth="1" min="4" max="4" width="12.29"/>
    <col customWidth="1" min="5" max="18" width="12.0"/>
    <col customWidth="1" min="19" max="19" width="9.86"/>
    <col customWidth="1" min="20" max="26" width="8.71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7.75" customHeight="1">
      <c r="A2" s="1" t="s">
        <v>24</v>
      </c>
      <c r="B2" s="22" t="s">
        <v>25</v>
      </c>
      <c r="C2" s="23" t="s">
        <v>26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9.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 outlineLevel="1">
      <c r="A4" s="1"/>
      <c r="B4" s="24" t="s">
        <v>27</v>
      </c>
      <c r="C4" s="2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 outlineLevel="1">
      <c r="A5" s="1"/>
      <c r="B5" s="25" t="s">
        <v>28</v>
      </c>
      <c r="C5" s="26">
        <v>1.0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 outlineLevel="1">
      <c r="A6" s="1"/>
      <c r="B6" s="25" t="s">
        <v>29</v>
      </c>
      <c r="C6" s="26">
        <v>15.0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 outlineLevel="1">
      <c r="A7" s="1"/>
      <c r="B7" s="24" t="s">
        <v>27</v>
      </c>
      <c r="C7" s="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 outlineLevel="1">
      <c r="A8" s="1"/>
      <c r="B8" s="25" t="s">
        <v>30</v>
      </c>
      <c r="C8" s="26">
        <v>10.0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 outlineLevel="1">
      <c r="A9" s="1"/>
      <c r="B9" s="25" t="s">
        <v>31</v>
      </c>
      <c r="C9" s="27">
        <v>0.85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 outlineLevel="1">
      <c r="A10" s="1"/>
      <c r="B10" s="25" t="s">
        <v>32</v>
      </c>
      <c r="C10" s="28">
        <v>0.005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 outlineLevel="1">
      <c r="A11" s="1"/>
      <c r="B11" s="25" t="s">
        <v>33</v>
      </c>
      <c r="C11" s="26">
        <v>8760.0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 outlineLevel="1">
      <c r="A12" s="1"/>
      <c r="B12" s="24" t="s">
        <v>34</v>
      </c>
      <c r="C12" s="2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 outlineLevel="1">
      <c r="A13" s="1"/>
      <c r="B13" s="25" t="s">
        <v>35</v>
      </c>
      <c r="C13" s="29">
        <v>7.5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 outlineLevel="1">
      <c r="A14" s="1"/>
      <c r="B14" s="25" t="s">
        <v>36</v>
      </c>
      <c r="C14" s="30">
        <f>C13*1000</f>
        <v>7500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 outlineLevel="1">
      <c r="A15" s="1"/>
      <c r="B15" s="25" t="s">
        <v>37</v>
      </c>
      <c r="C15" s="31">
        <v>0.02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 outlineLevel="1">
      <c r="A16" s="1"/>
      <c r="B16" s="25" t="s">
        <v>38</v>
      </c>
      <c r="C16" s="26">
        <v>500.0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 outlineLevel="1">
      <c r="A17" s="1"/>
      <c r="B17" s="25" t="s">
        <v>39</v>
      </c>
      <c r="C17" s="32">
        <f>Daily_Waste_Tons*365</f>
        <v>182500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 outlineLevel="1">
      <c r="A18" s="1"/>
      <c r="B18" s="25" t="s">
        <v>40</v>
      </c>
      <c r="C18" s="29">
        <v>600.0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 outlineLevel="1">
      <c r="A19" s="1"/>
      <c r="B19" s="24" t="s">
        <v>41</v>
      </c>
      <c r="C19" s="24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 outlineLevel="1">
      <c r="A20" s="1"/>
      <c r="B20" s="25" t="s">
        <v>42</v>
      </c>
      <c r="C20" s="29">
        <v>1.2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 outlineLevel="1">
      <c r="A21" s="1"/>
      <c r="B21" s="25" t="s">
        <v>43</v>
      </c>
      <c r="C21" s="33">
        <v>1200000.0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 outlineLevel="1">
      <c r="A22" s="1"/>
      <c r="B22" s="25" t="s">
        <v>44</v>
      </c>
      <c r="C22" s="31">
        <v>0.03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 outlineLevel="1">
      <c r="A23" s="1"/>
      <c r="B23" s="25" t="s">
        <v>45</v>
      </c>
      <c r="C23" s="29">
        <v>200.0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 outlineLevel="1">
      <c r="A24" s="1"/>
      <c r="B24" s="24" t="s">
        <v>46</v>
      </c>
      <c r="C24" s="24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 outlineLevel="1">
      <c r="A25" s="1"/>
      <c r="B25" s="25" t="s">
        <v>47</v>
      </c>
      <c r="C25" s="29">
        <v>250.0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 outlineLevel="1">
      <c r="A26" s="1"/>
      <c r="B26" s="25" t="s">
        <v>48</v>
      </c>
      <c r="C26" s="31">
        <v>0.7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 outlineLevel="1">
      <c r="A27" s="1"/>
      <c r="B27" s="25" t="s">
        <v>49</v>
      </c>
      <c r="C27" s="26">
        <v>10.0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 outlineLevel="1">
      <c r="A28" s="1"/>
      <c r="B28" s="25" t="s">
        <v>50</v>
      </c>
      <c r="C28" s="31">
        <v>0.105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 outlineLevel="1">
      <c r="A29" s="1"/>
      <c r="B29" s="25" t="s">
        <v>51</v>
      </c>
      <c r="C29" s="26">
        <v>1.0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 outlineLevel="1">
      <c r="A30" s="1"/>
      <c r="B30" s="24" t="s">
        <v>52</v>
      </c>
      <c r="C30" s="2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 outlineLevel="1">
      <c r="A31" s="1"/>
      <c r="B31" s="25" t="s">
        <v>53</v>
      </c>
      <c r="C31" s="31">
        <v>0.25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 outlineLevel="1">
      <c r="A32" s="1"/>
      <c r="B32" s="25" t="s">
        <v>54</v>
      </c>
      <c r="C32" s="26">
        <v>15.0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 outlineLevel="1">
      <c r="A33" s="1"/>
      <c r="B33" s="25" t="s">
        <v>55</v>
      </c>
      <c r="C33" s="31">
        <v>0.1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 outlineLevel="1">
      <c r="A34" s="1"/>
      <c r="B34" s="24" t="s">
        <v>56</v>
      </c>
      <c r="C34" s="2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 outlineLevel="1">
      <c r="A35" s="1"/>
      <c r="B35" s="25" t="s">
        <v>57</v>
      </c>
      <c r="C35" s="26">
        <v>30.0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 outlineLevel="1">
      <c r="A36" s="1"/>
      <c r="B36" s="25" t="s">
        <v>58</v>
      </c>
      <c r="C36" s="26">
        <v>6.0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 outlineLevel="1">
      <c r="A37" s="1"/>
      <c r="B37" s="25" t="s">
        <v>59</v>
      </c>
      <c r="C37" s="31">
        <v>0.12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 t="s">
        <v>24</v>
      </c>
      <c r="B39" s="34" t="s">
        <v>60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 outlineLevel="1">
      <c r="A40" s="1"/>
      <c r="B40" s="35"/>
      <c r="C40" s="1"/>
      <c r="D40" s="36">
        <v>1.0</v>
      </c>
      <c r="E40" s="37">
        <f t="shared" ref="E40:S40" si="1">D40+1</f>
        <v>2</v>
      </c>
      <c r="F40" s="37">
        <f t="shared" si="1"/>
        <v>3</v>
      </c>
      <c r="G40" s="37">
        <f t="shared" si="1"/>
        <v>4</v>
      </c>
      <c r="H40" s="37">
        <f t="shared" si="1"/>
        <v>5</v>
      </c>
      <c r="I40" s="37">
        <f t="shared" si="1"/>
        <v>6</v>
      </c>
      <c r="J40" s="37">
        <f t="shared" si="1"/>
        <v>7</v>
      </c>
      <c r="K40" s="37">
        <f t="shared" si="1"/>
        <v>8</v>
      </c>
      <c r="L40" s="37">
        <f t="shared" si="1"/>
        <v>9</v>
      </c>
      <c r="M40" s="37">
        <f t="shared" si="1"/>
        <v>10</v>
      </c>
      <c r="N40" s="37">
        <f t="shared" si="1"/>
        <v>11</v>
      </c>
      <c r="O40" s="37">
        <f t="shared" si="1"/>
        <v>12</v>
      </c>
      <c r="P40" s="37">
        <f t="shared" si="1"/>
        <v>13</v>
      </c>
      <c r="Q40" s="37">
        <f t="shared" si="1"/>
        <v>14</v>
      </c>
      <c r="R40" s="37">
        <f t="shared" si="1"/>
        <v>15</v>
      </c>
      <c r="S40" s="38">
        <f t="shared" si="1"/>
        <v>16</v>
      </c>
      <c r="T40" s="1"/>
      <c r="U40" s="1"/>
      <c r="V40" s="1"/>
      <c r="W40" s="1"/>
      <c r="X40" s="1"/>
      <c r="Y40" s="1"/>
      <c r="Z40" s="1"/>
    </row>
    <row r="41" ht="14.25" customHeight="1" outlineLevel="1">
      <c r="A41" s="1"/>
      <c r="B41" s="39" t="s">
        <v>61</v>
      </c>
      <c r="C41" s="40"/>
      <c r="D41" s="41">
        <v>0.0</v>
      </c>
      <c r="E41" s="41">
        <v>1.0</v>
      </c>
      <c r="F41" s="41">
        <v>1.0</v>
      </c>
      <c r="G41" s="41">
        <v>1.0</v>
      </c>
      <c r="H41" s="41">
        <v>1.0</v>
      </c>
      <c r="I41" s="41">
        <v>1.0</v>
      </c>
      <c r="J41" s="41">
        <v>1.0</v>
      </c>
      <c r="K41" s="41">
        <v>1.0</v>
      </c>
      <c r="L41" s="41">
        <v>1.0</v>
      </c>
      <c r="M41" s="41">
        <v>1.0</v>
      </c>
      <c r="N41" s="41">
        <v>1.0</v>
      </c>
      <c r="O41" s="41">
        <v>1.0</v>
      </c>
      <c r="P41" s="41">
        <v>1.0</v>
      </c>
      <c r="Q41" s="41">
        <v>1.0</v>
      </c>
      <c r="R41" s="41">
        <v>1.0</v>
      </c>
      <c r="S41" s="41">
        <v>1.0</v>
      </c>
      <c r="T41" s="1"/>
      <c r="U41" s="1"/>
      <c r="V41" s="1"/>
      <c r="W41" s="1"/>
      <c r="X41" s="1"/>
      <c r="Y41" s="1"/>
      <c r="Z41" s="1"/>
    </row>
    <row r="42" ht="14.25" customHeight="1" outlineLevel="1">
      <c r="A42" s="1"/>
      <c r="B42" s="42" t="s">
        <v>62</v>
      </c>
      <c r="C42" s="42"/>
      <c r="D42" s="43">
        <f>Installed_Capacity*PLF*Yearly_Hour*(1-Degradation)^(D40-2)*D41</f>
        <v>0</v>
      </c>
      <c r="E42" s="43">
        <f>Installed_Capacity*PLF*Yearly_Hour*(1-Degradation)^(E40-2)*E41</f>
        <v>74460</v>
      </c>
      <c r="F42" s="43">
        <f>Installed_Capacity*PLF*Yearly_Hour*(1-Degradation)^(F40-2)*F41</f>
        <v>74087.7</v>
      </c>
      <c r="G42" s="43">
        <f>Installed_Capacity*PLF*Yearly_Hour*(1-Degradation)^(G40-2)*G41</f>
        <v>73717.2615</v>
      </c>
      <c r="H42" s="43">
        <f>Installed_Capacity*PLF*Yearly_Hour*(1-Degradation)^(H40-2)*H41</f>
        <v>73348.67519</v>
      </c>
      <c r="I42" s="43">
        <f>Installed_Capacity*PLF*Yearly_Hour*(1-Degradation)^(I40-2)*I41</f>
        <v>72981.93182</v>
      </c>
      <c r="J42" s="43">
        <f>Installed_Capacity*PLF*Yearly_Hour*(1-Degradation)^(J40-2)*J41</f>
        <v>72617.02216</v>
      </c>
      <c r="K42" s="43">
        <f>Installed_Capacity*PLF*Yearly_Hour*(1-Degradation)^(K40-2)*K41</f>
        <v>72253.93705</v>
      </c>
      <c r="L42" s="43">
        <f>Installed_Capacity*PLF*Yearly_Hour*(1-Degradation)^(L40-2)*L41</f>
        <v>71892.66736</v>
      </c>
      <c r="M42" s="43">
        <f>Installed_Capacity*PLF*Yearly_Hour*(1-Degradation)^(M40-2)*M41</f>
        <v>71533.20402</v>
      </c>
      <c r="N42" s="43">
        <f>Installed_Capacity*PLF*Yearly_Hour*(1-Degradation)^(N40-2)*N41</f>
        <v>71175.538</v>
      </c>
      <c r="O42" s="43">
        <f>Installed_Capacity*PLF*Yearly_Hour*(1-Degradation)^(O40-2)*O41</f>
        <v>70819.66031</v>
      </c>
      <c r="P42" s="43">
        <f>Installed_Capacity*PLF*Yearly_Hour*(1-Degradation)^(P40-2)*P41</f>
        <v>70465.56201</v>
      </c>
      <c r="Q42" s="43">
        <f>Installed_Capacity*PLF*Yearly_Hour*(1-Degradation)^(Q40-2)*Q41</f>
        <v>70113.2342</v>
      </c>
      <c r="R42" s="43">
        <f>Installed_Capacity*PLF*Yearly_Hour*(1-Degradation)^(R40-2)*R41</f>
        <v>69762.66803</v>
      </c>
      <c r="S42" s="43">
        <f>Installed_Capacity*PLF*Yearly_Hour*(1-Degradation)^(S40-2)*S41</f>
        <v>69413.85469</v>
      </c>
      <c r="T42" s="1"/>
      <c r="U42" s="1"/>
      <c r="V42" s="1"/>
      <c r="W42" s="1"/>
      <c r="X42" s="1"/>
      <c r="Y42" s="1"/>
      <c r="Z42" s="1"/>
    </row>
    <row r="43" ht="14.25" customHeight="1" outlineLevel="1">
      <c r="A43" s="1"/>
      <c r="B43" s="42" t="s">
        <v>63</v>
      </c>
      <c r="C43" s="42"/>
      <c r="D43" s="43">
        <f>Daily_Waste_Tons*365*D41</f>
        <v>0</v>
      </c>
      <c r="E43" s="43">
        <f>Daily_Waste_Tons*365*E41</f>
        <v>182500</v>
      </c>
      <c r="F43" s="43">
        <f>Daily_Waste_Tons*365*F41</f>
        <v>182500</v>
      </c>
      <c r="G43" s="43">
        <f>Daily_Waste_Tons*365*G41</f>
        <v>182500</v>
      </c>
      <c r="H43" s="43">
        <f>Daily_Waste_Tons*365*H41</f>
        <v>182500</v>
      </c>
      <c r="I43" s="43">
        <f>Daily_Waste_Tons*365*I41</f>
        <v>182500</v>
      </c>
      <c r="J43" s="43">
        <f>Daily_Waste_Tons*365*J41</f>
        <v>182500</v>
      </c>
      <c r="K43" s="43">
        <f>Daily_Waste_Tons*365*K41</f>
        <v>182500</v>
      </c>
      <c r="L43" s="43">
        <f>Daily_Waste_Tons*365*L41</f>
        <v>182500</v>
      </c>
      <c r="M43" s="43">
        <f>Daily_Waste_Tons*365*M41</f>
        <v>182500</v>
      </c>
      <c r="N43" s="43">
        <f>Daily_Waste_Tons*365*N41</f>
        <v>182500</v>
      </c>
      <c r="O43" s="43">
        <f>Daily_Waste_Tons*365*O41</f>
        <v>182500</v>
      </c>
      <c r="P43" s="43">
        <f>Daily_Waste_Tons*365*P41</f>
        <v>182500</v>
      </c>
      <c r="Q43" s="43">
        <f>Daily_Waste_Tons*365*Q41</f>
        <v>182500</v>
      </c>
      <c r="R43" s="43">
        <f>Daily_Waste_Tons*365*R41</f>
        <v>182500</v>
      </c>
      <c r="S43" s="43">
        <f>Daily_Waste_Tons*365*S41</f>
        <v>182500</v>
      </c>
      <c r="T43" s="1"/>
      <c r="U43" s="1"/>
      <c r="V43" s="1"/>
      <c r="W43" s="1"/>
      <c r="X43" s="1"/>
      <c r="Y43" s="1"/>
      <c r="Z43" s="1"/>
    </row>
    <row r="44" ht="14.25" customHeight="1" outlineLevel="1">
      <c r="A44" s="1"/>
      <c r="B44" s="1" t="s">
        <v>64</v>
      </c>
      <c r="C44" s="44"/>
      <c r="D44" s="43">
        <f>PPA_Tariff_MWh*(1+Escalator)^(D40-2)*D41</f>
        <v>0</v>
      </c>
      <c r="E44" s="43">
        <f>PPA_Tariff_MWh*(1+Escalator)^(E40-2)*E41</f>
        <v>7500</v>
      </c>
      <c r="F44" s="43">
        <f>PPA_Tariff_MWh*(1+Escalator)^(F40-2)*F41</f>
        <v>7650</v>
      </c>
      <c r="G44" s="43">
        <f>PPA_Tariff_MWh*(1+Escalator)^(G40-2)*G41</f>
        <v>7803</v>
      </c>
      <c r="H44" s="43">
        <f>PPA_Tariff_MWh*(1+Escalator)^(H40-2)*H41</f>
        <v>7959.06</v>
      </c>
      <c r="I44" s="43">
        <f>PPA_Tariff_MWh*(1+Escalator)^(I40-2)*I41</f>
        <v>8118.2412</v>
      </c>
      <c r="J44" s="43">
        <f>PPA_Tariff_MWh*(1+Escalator)^(J40-2)*J41</f>
        <v>8280.606024</v>
      </c>
      <c r="K44" s="43">
        <f>PPA_Tariff_MWh*(1+Escalator)^(K40-2)*K41</f>
        <v>8446.218144</v>
      </c>
      <c r="L44" s="43">
        <f>PPA_Tariff_MWh*(1+Escalator)^(L40-2)*L41</f>
        <v>8615.142507</v>
      </c>
      <c r="M44" s="43">
        <f>PPA_Tariff_MWh*(1+Escalator)^(M40-2)*M41</f>
        <v>8787.445358</v>
      </c>
      <c r="N44" s="43">
        <f>PPA_Tariff_MWh*(1+Escalator)^(N40-2)*N41</f>
        <v>8963.194265</v>
      </c>
      <c r="O44" s="43">
        <f>PPA_Tariff_MWh*(1+Escalator)^(O40-2)*O41</f>
        <v>9142.45815</v>
      </c>
      <c r="P44" s="43">
        <f>PPA_Tariff_MWh*(1+Escalator)^(P40-2)*P41</f>
        <v>9325.307313</v>
      </c>
      <c r="Q44" s="43">
        <f>PPA_Tariff_MWh*(1+Escalator)^(Q40-2)*Q41</f>
        <v>9511.813459</v>
      </c>
      <c r="R44" s="43">
        <f>PPA_Tariff_MWh*(1+Escalator)^(R40-2)*R41</f>
        <v>9702.049728</v>
      </c>
      <c r="S44" s="43">
        <f>PPA_Tariff_MWh*(1+Escalator)^(S40-2)*S41</f>
        <v>9896.090723</v>
      </c>
      <c r="T44" s="1"/>
      <c r="U44" s="1"/>
      <c r="V44" s="1"/>
      <c r="W44" s="1"/>
      <c r="X44" s="1"/>
      <c r="Y44" s="1"/>
      <c r="Z44" s="1"/>
    </row>
    <row r="45" ht="14.25" customHeight="1" outlineLevel="1">
      <c r="A45" s="1"/>
      <c r="B45" s="42" t="s">
        <v>40</v>
      </c>
      <c r="C45" s="45"/>
      <c r="D45" s="43">
        <f>Tipping_Fee_Base*(1+Inflation)^(D40-2)*D41</f>
        <v>0</v>
      </c>
      <c r="E45" s="43">
        <f>Tipping_Fee_Base*(1+Inflation)^(E40-2)*E41</f>
        <v>600</v>
      </c>
      <c r="F45" s="43">
        <f>Tipping_Fee_Base*(1+Inflation)^(F40-2)*F41</f>
        <v>618</v>
      </c>
      <c r="G45" s="43">
        <f>Tipping_Fee_Base*(1+Inflation)^(G40-2)*G41</f>
        <v>636.54</v>
      </c>
      <c r="H45" s="43">
        <f>Tipping_Fee_Base*(1+Inflation)^(H40-2)*H41</f>
        <v>655.6362</v>
      </c>
      <c r="I45" s="43">
        <f>Tipping_Fee_Base*(1+Inflation)^(I40-2)*I41</f>
        <v>675.305286</v>
      </c>
      <c r="J45" s="43">
        <f>Tipping_Fee_Base*(1+Inflation)^(J40-2)*J41</f>
        <v>695.5644446</v>
      </c>
      <c r="K45" s="43">
        <f>Tipping_Fee_Base*(1+Inflation)^(K40-2)*K41</f>
        <v>716.4313779</v>
      </c>
      <c r="L45" s="43">
        <f>Tipping_Fee_Base*(1+Inflation)^(L40-2)*L41</f>
        <v>737.9243193</v>
      </c>
      <c r="M45" s="43">
        <f>Tipping_Fee_Base*(1+Inflation)^(M40-2)*M41</f>
        <v>760.0620488</v>
      </c>
      <c r="N45" s="43">
        <f>Tipping_Fee_Base*(1+Inflation)^(N40-2)*N41</f>
        <v>782.8639103</v>
      </c>
      <c r="O45" s="43">
        <f>Tipping_Fee_Base*(1+Inflation)^(O40-2)*O41</f>
        <v>806.3498276</v>
      </c>
      <c r="P45" s="43">
        <f>Tipping_Fee_Base*(1+Inflation)^(P40-2)*P41</f>
        <v>830.5403224</v>
      </c>
      <c r="Q45" s="43">
        <f>Tipping_Fee_Base*(1+Inflation)^(Q40-2)*Q41</f>
        <v>855.4565321</v>
      </c>
      <c r="R45" s="43">
        <f>Tipping_Fee_Base*(1+Inflation)^(R40-2)*R41</f>
        <v>881.1202281</v>
      </c>
      <c r="S45" s="43">
        <f>Tipping_Fee_Base*(1+Inflation)^(S40-2)*S41</f>
        <v>907.5538349</v>
      </c>
      <c r="T45" s="1"/>
      <c r="U45" s="1"/>
      <c r="V45" s="1"/>
      <c r="W45" s="1"/>
      <c r="X45" s="1"/>
      <c r="Y45" s="1"/>
      <c r="Z45" s="1"/>
    </row>
    <row r="46" ht="14.25" customHeight="1" outlineLevel="1">
      <c r="A46" s="1"/>
      <c r="B46" s="46" t="s">
        <v>65</v>
      </c>
      <c r="C46" s="47"/>
      <c r="D46" s="48">
        <f>IFERROR((D42*D44)+(D43*D45)/10^7,"-")</f>
        <v>0</v>
      </c>
      <c r="E46" s="49">
        <f t="shared" ref="E46:S46" si="2">((E42*E44)+(E43*E45))/10^7</f>
        <v>66.795</v>
      </c>
      <c r="F46" s="49">
        <f t="shared" si="2"/>
        <v>67.9555905</v>
      </c>
      <c r="G46" s="49">
        <f t="shared" si="2"/>
        <v>69.13843415</v>
      </c>
      <c r="H46" s="49">
        <f t="shared" si="2"/>
        <v>70.34401133</v>
      </c>
      <c r="I46" s="49">
        <f t="shared" si="2"/>
        <v>71.57281404</v>
      </c>
      <c r="J46" s="49">
        <f t="shared" si="2"/>
        <v>72.82534623</v>
      </c>
      <c r="K46" s="49">
        <f t="shared" si="2"/>
        <v>74.10212406</v>
      </c>
      <c r="L46" s="49">
        <f t="shared" si="2"/>
        <v>75.40367628</v>
      </c>
      <c r="M46" s="49">
        <f t="shared" si="2"/>
        <v>76.73054455</v>
      </c>
      <c r="N46" s="49">
        <f t="shared" si="2"/>
        <v>78.08328377</v>
      </c>
      <c r="O46" s="49">
        <f t="shared" si="2"/>
        <v>79.46246242</v>
      </c>
      <c r="P46" s="49">
        <f t="shared" si="2"/>
        <v>80.86866296</v>
      </c>
      <c r="Q46" s="49">
        <f t="shared" si="2"/>
        <v>82.30248219</v>
      </c>
      <c r="R46" s="49">
        <f t="shared" si="2"/>
        <v>83.76453161</v>
      </c>
      <c r="S46" s="49">
        <f t="shared" si="2"/>
        <v>85.25543783</v>
      </c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 t="s">
        <v>24</v>
      </c>
      <c r="B48" s="34" t="s">
        <v>66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 outlineLevel="1">
      <c r="A50" s="1"/>
      <c r="B50" s="1"/>
      <c r="C50" s="1"/>
      <c r="D50" s="36">
        <v>1.0</v>
      </c>
      <c r="E50" s="37">
        <f t="shared" ref="E50:S50" si="3">D50+1</f>
        <v>2</v>
      </c>
      <c r="F50" s="37">
        <f t="shared" si="3"/>
        <v>3</v>
      </c>
      <c r="G50" s="37">
        <f t="shared" si="3"/>
        <v>4</v>
      </c>
      <c r="H50" s="37">
        <f t="shared" si="3"/>
        <v>5</v>
      </c>
      <c r="I50" s="37">
        <f t="shared" si="3"/>
        <v>6</v>
      </c>
      <c r="J50" s="37">
        <f t="shared" si="3"/>
        <v>7</v>
      </c>
      <c r="K50" s="37">
        <f t="shared" si="3"/>
        <v>8</v>
      </c>
      <c r="L50" s="37">
        <f t="shared" si="3"/>
        <v>9</v>
      </c>
      <c r="M50" s="37">
        <f t="shared" si="3"/>
        <v>10</v>
      </c>
      <c r="N50" s="37">
        <f t="shared" si="3"/>
        <v>11</v>
      </c>
      <c r="O50" s="37">
        <f t="shared" si="3"/>
        <v>12</v>
      </c>
      <c r="P50" s="37">
        <f t="shared" si="3"/>
        <v>13</v>
      </c>
      <c r="Q50" s="37">
        <f t="shared" si="3"/>
        <v>14</v>
      </c>
      <c r="R50" s="37">
        <f t="shared" si="3"/>
        <v>15</v>
      </c>
      <c r="S50" s="38">
        <f t="shared" si="3"/>
        <v>16</v>
      </c>
      <c r="T50" s="1"/>
      <c r="U50" s="1"/>
      <c r="V50" s="1"/>
      <c r="W50" s="1"/>
      <c r="X50" s="1"/>
      <c r="Y50" s="1"/>
      <c r="Z50" s="1"/>
    </row>
    <row r="51" ht="14.25" customHeight="1" outlineLevel="1">
      <c r="A51" s="1"/>
      <c r="B51" s="42" t="s">
        <v>67</v>
      </c>
      <c r="C51" s="42"/>
      <c r="D51" s="50"/>
      <c r="E51" s="51">
        <f>(1+Inflation)^(E50-2)</f>
        <v>1</v>
      </c>
      <c r="F51" s="51">
        <f>(1+Inflation)^(F50-2)</f>
        <v>1.03</v>
      </c>
      <c r="G51" s="51">
        <f>(1+Inflation)^(G50-2)</f>
        <v>1.0609</v>
      </c>
      <c r="H51" s="51">
        <f>(1+Inflation)^(H50-2)</f>
        <v>1.092727</v>
      </c>
      <c r="I51" s="51">
        <f>(1+Inflation)^(I50-2)</f>
        <v>1.12550881</v>
      </c>
      <c r="J51" s="51">
        <f>(1+Inflation)^(J50-2)</f>
        <v>1.159274074</v>
      </c>
      <c r="K51" s="51">
        <f>(1+Inflation)^(K50-2)</f>
        <v>1.194052297</v>
      </c>
      <c r="L51" s="51">
        <f>(1+Inflation)^(L50-2)</f>
        <v>1.229873865</v>
      </c>
      <c r="M51" s="51">
        <f>(1+Inflation)^(M50-2)</f>
        <v>1.266770081</v>
      </c>
      <c r="N51" s="51">
        <f>(1+Inflation)^(N50-2)</f>
        <v>1.304773184</v>
      </c>
      <c r="O51" s="51">
        <f>(1+Inflation)^(O50-2)</f>
        <v>1.343916379</v>
      </c>
      <c r="P51" s="51">
        <f>(1+Inflation)^(P50-2)</f>
        <v>1.384233871</v>
      </c>
      <c r="Q51" s="51">
        <f>(1+Inflation)^(Q50-2)</f>
        <v>1.425760887</v>
      </c>
      <c r="R51" s="51">
        <f>(1+Inflation)^(R50-2)</f>
        <v>1.468533713</v>
      </c>
      <c r="S51" s="51">
        <f>(1+Inflation)^(S50-2)</f>
        <v>1.512589725</v>
      </c>
      <c r="T51" s="1"/>
      <c r="U51" s="1"/>
      <c r="V51" s="1"/>
      <c r="W51" s="1"/>
      <c r="X51" s="1"/>
      <c r="Y51" s="1"/>
      <c r="Z51" s="1"/>
    </row>
    <row r="52" ht="14.25" customHeight="1" outlineLevel="1">
      <c r="A52" s="1"/>
      <c r="B52" s="42" t="s">
        <v>68</v>
      </c>
      <c r="C52" s="42"/>
      <c r="D52" s="50"/>
      <c r="E52" s="51">
        <f>Fixed_Assumption*Installed_Capacity*E51/10^7</f>
        <v>1.2</v>
      </c>
      <c r="F52" s="51">
        <f>Fixed_Assumption*Installed_Capacity*F51/10^7</f>
        <v>1.236</v>
      </c>
      <c r="G52" s="51">
        <f>Fixed_Assumption*Installed_Capacity*G51/10^7</f>
        <v>1.27308</v>
      </c>
      <c r="H52" s="51">
        <f>Fixed_Assumption*Installed_Capacity*H51/10^7</f>
        <v>1.3112724</v>
      </c>
      <c r="I52" s="51">
        <f>Fixed_Assumption*Installed_Capacity*I51/10^7</f>
        <v>1.350610572</v>
      </c>
      <c r="J52" s="51">
        <f>Fixed_Assumption*Installed_Capacity*J51/10^7</f>
        <v>1.391128889</v>
      </c>
      <c r="K52" s="51">
        <f>Fixed_Assumption*Installed_Capacity*K51/10^7</f>
        <v>1.432862756</v>
      </c>
      <c r="L52" s="51">
        <f>Fixed_Assumption*Installed_Capacity*L51/10^7</f>
        <v>1.475848639</v>
      </c>
      <c r="M52" s="51">
        <f>Fixed_Assumption*Installed_Capacity*M51/10^7</f>
        <v>1.520124098</v>
      </c>
      <c r="N52" s="51">
        <f>Fixed_Assumption*Installed_Capacity*N51/10^7</f>
        <v>1.565727821</v>
      </c>
      <c r="O52" s="51">
        <f>Fixed_Assumption*Installed_Capacity*O51/10^7</f>
        <v>1.612699655</v>
      </c>
      <c r="P52" s="51">
        <f>Fixed_Assumption*Installed_Capacity*P51/10^7</f>
        <v>1.661080645</v>
      </c>
      <c r="Q52" s="51">
        <f>Fixed_Assumption*Installed_Capacity*Q51/10^7</f>
        <v>1.710913064</v>
      </c>
      <c r="R52" s="51">
        <f>Fixed_Assumption*Installed_Capacity*R51/10^7</f>
        <v>1.762240456</v>
      </c>
      <c r="S52" s="51">
        <f>Fixed_Assumption*Installed_Capacity*S51/10^7</f>
        <v>1.81510767</v>
      </c>
      <c r="T52" s="1"/>
      <c r="U52" s="1"/>
      <c r="V52" s="1"/>
      <c r="W52" s="1"/>
      <c r="X52" s="1"/>
      <c r="Y52" s="1"/>
      <c r="Z52" s="1"/>
    </row>
    <row r="53" ht="14.25" customHeight="1" outlineLevel="1">
      <c r="A53" s="1"/>
      <c r="B53" s="42" t="s">
        <v>69</v>
      </c>
      <c r="C53" s="42"/>
      <c r="D53" s="50"/>
      <c r="E53" s="51">
        <f>Variable_Assumption*1000*E42*E51/10^7</f>
        <v>8.9352</v>
      </c>
      <c r="F53" s="51">
        <f>Variable_Assumption*1000*F42*F51/10^7</f>
        <v>9.15723972</v>
      </c>
      <c r="G53" s="51">
        <f>Variable_Assumption*1000*G42*G51/10^7</f>
        <v>9.384797127</v>
      </c>
      <c r="H53" s="51">
        <f>Variable_Assumption*1000*H42*H51/10^7</f>
        <v>9.618009336</v>
      </c>
      <c r="I53" s="51">
        <f>Variable_Assumption*1000*I42*I51/10^7</f>
        <v>9.857016868</v>
      </c>
      <c r="J53" s="51">
        <f>Variable_Assumption*1000*J42*J51/10^7</f>
        <v>10.10196374</v>
      </c>
      <c r="K53" s="51">
        <f>Variable_Assumption*1000*K42*K51/10^7</f>
        <v>10.35299754</v>
      </c>
      <c r="L53" s="51">
        <f>Variable_Assumption*1000*L42*L51/10^7</f>
        <v>10.61026952</v>
      </c>
      <c r="M53" s="51">
        <f>Variable_Assumption*1000*M42*M51/10^7</f>
        <v>10.87393472</v>
      </c>
      <c r="N53" s="51">
        <f>Variable_Assumption*1000*N42*N51/10^7</f>
        <v>11.144152</v>
      </c>
      <c r="O53" s="51">
        <f>Variable_Assumption*1000*O42*O51/10^7</f>
        <v>11.42108418</v>
      </c>
      <c r="P53" s="51">
        <f>Variable_Assumption*1000*P42*P51/10^7</f>
        <v>11.70489812</v>
      </c>
      <c r="Q53" s="51">
        <f>Variable_Assumption*1000*Q42*Q51/10^7</f>
        <v>11.99576484</v>
      </c>
      <c r="R53" s="51">
        <f>Variable_Assumption*1000*R42*R51/10^7</f>
        <v>12.29385959</v>
      </c>
      <c r="S53" s="51">
        <f>Variable_Assumption*1000*S42*S51/10^7</f>
        <v>12.599362</v>
      </c>
      <c r="T53" s="1"/>
      <c r="U53" s="1"/>
      <c r="V53" s="1"/>
      <c r="W53" s="1"/>
      <c r="X53" s="1"/>
      <c r="Y53" s="1"/>
      <c r="Z53" s="1"/>
    </row>
    <row r="54" ht="14.25" customHeight="1" outlineLevel="1">
      <c r="A54" s="1"/>
      <c r="B54" s="42" t="s">
        <v>70</v>
      </c>
      <c r="C54" s="42"/>
      <c r="D54" s="50"/>
      <c r="E54" s="51">
        <f>Waste_Processed*Ash_Rate*E51/10^7</f>
        <v>3.65</v>
      </c>
      <c r="F54" s="51">
        <f>Waste_Processed*Ash_Rate*F51/10^7</f>
        <v>3.7595</v>
      </c>
      <c r="G54" s="51">
        <f>Waste_Processed*Ash_Rate*G51/10^7</f>
        <v>3.872285</v>
      </c>
      <c r="H54" s="51">
        <f>Waste_Processed*Ash_Rate*H51/10^7</f>
        <v>3.98845355</v>
      </c>
      <c r="I54" s="51">
        <f>Waste_Processed*Ash_Rate*I51/10^7</f>
        <v>4.108107157</v>
      </c>
      <c r="J54" s="51">
        <f>Waste_Processed*Ash_Rate*J51/10^7</f>
        <v>4.231350371</v>
      </c>
      <c r="K54" s="51">
        <f>Waste_Processed*Ash_Rate*K51/10^7</f>
        <v>4.358290882</v>
      </c>
      <c r="L54" s="51">
        <f>Waste_Processed*Ash_Rate*L51/10^7</f>
        <v>4.489039609</v>
      </c>
      <c r="M54" s="51">
        <f>Waste_Processed*Ash_Rate*M51/10^7</f>
        <v>4.623710797</v>
      </c>
      <c r="N54" s="51">
        <f>Waste_Processed*Ash_Rate*N51/10^7</f>
        <v>4.762422121</v>
      </c>
      <c r="O54" s="51">
        <f>Waste_Processed*Ash_Rate*O51/10^7</f>
        <v>4.905294785</v>
      </c>
      <c r="P54" s="51">
        <f>Waste_Processed*Ash_Rate*P51/10^7</f>
        <v>5.052453628</v>
      </c>
      <c r="Q54" s="51">
        <f>Waste_Processed*Ash_Rate*Q51/10^7</f>
        <v>5.204027237</v>
      </c>
      <c r="R54" s="51">
        <f>Waste_Processed*Ash_Rate*R51/10^7</f>
        <v>5.360148054</v>
      </c>
      <c r="S54" s="51">
        <f>Waste_Processed*Ash_Rate*S51/10^7</f>
        <v>5.520952496</v>
      </c>
      <c r="T54" s="1"/>
      <c r="U54" s="1"/>
      <c r="V54" s="1"/>
      <c r="W54" s="1"/>
      <c r="X54" s="1"/>
      <c r="Y54" s="1"/>
      <c r="Z54" s="1"/>
    </row>
    <row r="55" ht="14.25" customHeight="1" outlineLevel="1">
      <c r="A55" s="1"/>
      <c r="B55" s="46" t="s">
        <v>71</v>
      </c>
      <c r="C55" s="47"/>
      <c r="D55" s="52"/>
      <c r="E55" s="53">
        <f t="shared" ref="E55:S55" si="4">SUM(E52:E54)</f>
        <v>13.7852</v>
      </c>
      <c r="F55" s="53">
        <f t="shared" si="4"/>
        <v>14.15273972</v>
      </c>
      <c r="G55" s="53">
        <f t="shared" si="4"/>
        <v>14.53016213</v>
      </c>
      <c r="H55" s="53">
        <f t="shared" si="4"/>
        <v>14.91773529</v>
      </c>
      <c r="I55" s="53">
        <f t="shared" si="4"/>
        <v>15.3157346</v>
      </c>
      <c r="J55" s="53">
        <f t="shared" si="4"/>
        <v>15.724443</v>
      </c>
      <c r="K55" s="53">
        <f t="shared" si="4"/>
        <v>16.14415117</v>
      </c>
      <c r="L55" s="53">
        <f t="shared" si="4"/>
        <v>16.57515777</v>
      </c>
      <c r="M55" s="53">
        <f t="shared" si="4"/>
        <v>17.01776962</v>
      </c>
      <c r="N55" s="53">
        <f t="shared" si="4"/>
        <v>17.47230194</v>
      </c>
      <c r="O55" s="53">
        <f t="shared" si="4"/>
        <v>17.93907862</v>
      </c>
      <c r="P55" s="53">
        <f t="shared" si="4"/>
        <v>18.41843239</v>
      </c>
      <c r="Q55" s="53">
        <f t="shared" si="4"/>
        <v>18.91070514</v>
      </c>
      <c r="R55" s="53">
        <f t="shared" si="4"/>
        <v>19.4162481</v>
      </c>
      <c r="S55" s="53">
        <f t="shared" si="4"/>
        <v>19.93542217</v>
      </c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 t="s">
        <v>24</v>
      </c>
      <c r="B57" s="34" t="s">
        <v>17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 outlineLevel="1">
      <c r="A59" s="1"/>
      <c r="B59" s="1"/>
      <c r="C59" s="1"/>
      <c r="D59" s="36">
        <v>1.0</v>
      </c>
      <c r="E59" s="37">
        <v>2.0</v>
      </c>
      <c r="F59" s="37">
        <v>3.0</v>
      </c>
      <c r="G59" s="37">
        <v>4.0</v>
      </c>
      <c r="H59" s="37">
        <v>5.0</v>
      </c>
      <c r="I59" s="37">
        <v>6.0</v>
      </c>
      <c r="J59" s="37">
        <v>7.0</v>
      </c>
      <c r="K59" s="37">
        <v>8.0</v>
      </c>
      <c r="L59" s="37">
        <v>9.0</v>
      </c>
      <c r="M59" s="37">
        <v>10.0</v>
      </c>
      <c r="N59" s="37">
        <v>11.0</v>
      </c>
      <c r="O59" s="37">
        <v>12.0</v>
      </c>
      <c r="P59" s="37">
        <v>13.0</v>
      </c>
      <c r="Q59" s="37">
        <v>14.0</v>
      </c>
      <c r="R59" s="37">
        <v>15.0</v>
      </c>
      <c r="S59" s="38">
        <v>16.0</v>
      </c>
      <c r="T59" s="1"/>
      <c r="U59" s="1"/>
      <c r="V59" s="1"/>
      <c r="W59" s="1"/>
      <c r="X59" s="1"/>
      <c r="Y59" s="1"/>
      <c r="Z59" s="1"/>
    </row>
    <row r="60" ht="14.25" customHeight="1" outlineLevel="1">
      <c r="A60" s="1"/>
      <c r="B60" s="42" t="s">
        <v>72</v>
      </c>
      <c r="C60" s="42"/>
      <c r="D60" s="50"/>
      <c r="E60" s="51">
        <f t="shared" ref="E60:S60" si="5">E46</f>
        <v>66.795</v>
      </c>
      <c r="F60" s="51">
        <f t="shared" si="5"/>
        <v>67.9555905</v>
      </c>
      <c r="G60" s="51">
        <f t="shared" si="5"/>
        <v>69.13843415</v>
      </c>
      <c r="H60" s="51">
        <f t="shared" si="5"/>
        <v>70.34401133</v>
      </c>
      <c r="I60" s="51">
        <f t="shared" si="5"/>
        <v>71.57281404</v>
      </c>
      <c r="J60" s="51">
        <f t="shared" si="5"/>
        <v>72.82534623</v>
      </c>
      <c r="K60" s="51">
        <f t="shared" si="5"/>
        <v>74.10212406</v>
      </c>
      <c r="L60" s="51">
        <f t="shared" si="5"/>
        <v>75.40367628</v>
      </c>
      <c r="M60" s="51">
        <f t="shared" si="5"/>
        <v>76.73054455</v>
      </c>
      <c r="N60" s="51">
        <f t="shared" si="5"/>
        <v>78.08328377</v>
      </c>
      <c r="O60" s="51">
        <f t="shared" si="5"/>
        <v>79.46246242</v>
      </c>
      <c r="P60" s="51">
        <f t="shared" si="5"/>
        <v>80.86866296</v>
      </c>
      <c r="Q60" s="51">
        <f t="shared" si="5"/>
        <v>82.30248219</v>
      </c>
      <c r="R60" s="51">
        <f t="shared" si="5"/>
        <v>83.76453161</v>
      </c>
      <c r="S60" s="51">
        <f t="shared" si="5"/>
        <v>85.25543783</v>
      </c>
      <c r="T60" s="1"/>
      <c r="U60" s="1"/>
      <c r="V60" s="1"/>
      <c r="W60" s="1"/>
      <c r="X60" s="1"/>
      <c r="Y60" s="1"/>
      <c r="Z60" s="1"/>
    </row>
    <row r="61" ht="14.25" customHeight="1" outlineLevel="1">
      <c r="A61" s="1"/>
      <c r="B61" s="42" t="s">
        <v>73</v>
      </c>
      <c r="C61" s="42"/>
      <c r="D61" s="54"/>
      <c r="E61" s="51">
        <f>E60*Working_Capital_Days/365</f>
        <v>5.49</v>
      </c>
      <c r="F61" s="51">
        <f>F60*Working_Capital_Days/365</f>
        <v>5.585391</v>
      </c>
      <c r="G61" s="51">
        <f>G60*Working_Capital_Days/365</f>
        <v>5.682611026</v>
      </c>
      <c r="H61" s="51">
        <f>H60*Working_Capital_Days/365</f>
        <v>5.781699561</v>
      </c>
      <c r="I61" s="51">
        <f>I60*Working_Capital_Days/365</f>
        <v>5.882697045</v>
      </c>
      <c r="J61" s="51">
        <f>J60*Working_Capital_Days/365</f>
        <v>5.985644895</v>
      </c>
      <c r="K61" s="51">
        <f>K60*Working_Capital_Days/365</f>
        <v>6.090585539</v>
      </c>
      <c r="L61" s="51">
        <f>L60*Working_Capital_Days/365</f>
        <v>6.197562434</v>
      </c>
      <c r="M61" s="51">
        <f>M60*Working_Capital_Days/365</f>
        <v>6.3066201</v>
      </c>
      <c r="N61" s="51">
        <f>N60*Working_Capital_Days/365</f>
        <v>6.417804145</v>
      </c>
      <c r="O61" s="51">
        <f>O60*Working_Capital_Days/365</f>
        <v>6.531161294</v>
      </c>
      <c r="P61" s="51">
        <f>P60*Working_Capital_Days/365</f>
        <v>6.646739421</v>
      </c>
      <c r="Q61" s="51">
        <f>Q60*Working_Capital_Days/365</f>
        <v>6.764587577</v>
      </c>
      <c r="R61" s="51">
        <f>R60*Working_Capital_Days/365</f>
        <v>6.884756022</v>
      </c>
      <c r="S61" s="51">
        <f>S60*Working_Capital_Days/365</f>
        <v>7.00729626</v>
      </c>
      <c r="T61" s="1"/>
      <c r="U61" s="1"/>
      <c r="V61" s="1"/>
      <c r="W61" s="1"/>
      <c r="X61" s="1"/>
      <c r="Y61" s="1"/>
      <c r="Z61" s="1"/>
    </row>
    <row r="62" ht="14.25" customHeight="1" outlineLevel="1">
      <c r="A62" s="1"/>
      <c r="B62" s="55" t="s">
        <v>74</v>
      </c>
      <c r="C62" s="56"/>
      <c r="D62" s="50"/>
      <c r="E62" s="57">
        <f t="shared" ref="E62:S62" si="6">D61-E61</f>
        <v>-5.49</v>
      </c>
      <c r="F62" s="57">
        <f t="shared" si="6"/>
        <v>-0.095391</v>
      </c>
      <c r="G62" s="57">
        <f t="shared" si="6"/>
        <v>-0.0972200259</v>
      </c>
      <c r="H62" s="57">
        <f t="shared" si="6"/>
        <v>-0.09908853529</v>
      </c>
      <c r="I62" s="57">
        <f t="shared" si="6"/>
        <v>-0.1009974834</v>
      </c>
      <c r="J62" s="57">
        <f t="shared" si="6"/>
        <v>-0.1029478507</v>
      </c>
      <c r="K62" s="57">
        <f t="shared" si="6"/>
        <v>-0.1049406436</v>
      </c>
      <c r="L62" s="57">
        <f t="shared" si="6"/>
        <v>-0.1069768952</v>
      </c>
      <c r="M62" s="57">
        <f t="shared" si="6"/>
        <v>-0.1090576661</v>
      </c>
      <c r="N62" s="57">
        <f t="shared" si="6"/>
        <v>-0.1111840449</v>
      </c>
      <c r="O62" s="57">
        <f t="shared" si="6"/>
        <v>-0.1133571493</v>
      </c>
      <c r="P62" s="57">
        <f t="shared" si="6"/>
        <v>-0.1155781269</v>
      </c>
      <c r="Q62" s="57">
        <f t="shared" si="6"/>
        <v>-0.1178481557</v>
      </c>
      <c r="R62" s="57">
        <f t="shared" si="6"/>
        <v>-0.1201684453</v>
      </c>
      <c r="S62" s="57">
        <f t="shared" si="6"/>
        <v>-0.1225402379</v>
      </c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 t="s">
        <v>24</v>
      </c>
      <c r="B64" s="34" t="s">
        <v>18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 outlineLevel="1">
      <c r="A66" s="1"/>
      <c r="B66" s="1"/>
      <c r="C66" s="1"/>
      <c r="D66" s="58">
        <v>1.0</v>
      </c>
      <c r="E66" s="59">
        <v>2.0</v>
      </c>
      <c r="F66" s="59">
        <v>3.0</v>
      </c>
      <c r="G66" s="59">
        <v>4.0</v>
      </c>
      <c r="H66" s="59">
        <v>5.0</v>
      </c>
      <c r="I66" s="59">
        <v>6.0</v>
      </c>
      <c r="J66" s="59">
        <v>7.0</v>
      </c>
      <c r="K66" s="59">
        <v>8.0</v>
      </c>
      <c r="L66" s="59">
        <v>9.0</v>
      </c>
      <c r="M66" s="59">
        <v>10.0</v>
      </c>
      <c r="N66" s="59">
        <v>11.0</v>
      </c>
      <c r="O66" s="59">
        <v>12.0</v>
      </c>
      <c r="P66" s="59">
        <v>13.0</v>
      </c>
      <c r="Q66" s="59">
        <v>14.0</v>
      </c>
      <c r="R66" s="59">
        <v>15.0</v>
      </c>
      <c r="S66" s="60">
        <v>16.0</v>
      </c>
      <c r="T66" s="1"/>
      <c r="U66" s="1"/>
      <c r="V66" s="1"/>
      <c r="W66" s="1"/>
      <c r="X66" s="1"/>
      <c r="Y66" s="1"/>
      <c r="Z66" s="1"/>
    </row>
    <row r="67" ht="14.25" customHeight="1" outlineLevel="1">
      <c r="A67" s="1"/>
      <c r="B67" s="39" t="s">
        <v>61</v>
      </c>
      <c r="C67" s="40"/>
      <c r="D67" s="61">
        <v>0.0</v>
      </c>
      <c r="E67" s="41">
        <v>1.0</v>
      </c>
      <c r="F67" s="41">
        <v>1.0</v>
      </c>
      <c r="G67" s="41">
        <v>1.0</v>
      </c>
      <c r="H67" s="41">
        <v>1.0</v>
      </c>
      <c r="I67" s="41">
        <v>1.0</v>
      </c>
      <c r="J67" s="41">
        <v>1.0</v>
      </c>
      <c r="K67" s="41">
        <v>1.0</v>
      </c>
      <c r="L67" s="41">
        <v>1.0</v>
      </c>
      <c r="M67" s="41">
        <v>1.0</v>
      </c>
      <c r="N67" s="41">
        <v>1.0</v>
      </c>
      <c r="O67" s="41">
        <v>1.0</v>
      </c>
      <c r="P67" s="41">
        <v>1.0</v>
      </c>
      <c r="Q67" s="41">
        <v>1.0</v>
      </c>
      <c r="R67" s="41">
        <v>1.0</v>
      </c>
      <c r="S67" s="41">
        <v>1.0</v>
      </c>
      <c r="T67" s="1"/>
      <c r="U67" s="1"/>
      <c r="V67" s="1"/>
      <c r="W67" s="1"/>
      <c r="X67" s="1"/>
      <c r="Y67" s="1"/>
      <c r="Z67" s="1"/>
    </row>
    <row r="68" ht="14.25" customHeight="1" outlineLevel="1">
      <c r="A68" s="1"/>
      <c r="B68" s="42" t="s">
        <v>75</v>
      </c>
      <c r="C68" s="42"/>
      <c r="D68" s="51">
        <v>0.0</v>
      </c>
      <c r="E68" s="51">
        <f t="shared" ref="E68:S68" si="7">D72</f>
        <v>268.375</v>
      </c>
      <c r="F68" s="51">
        <f t="shared" si="7"/>
        <v>252.15</v>
      </c>
      <c r="G68" s="51">
        <f t="shared" si="7"/>
        <v>235.925</v>
      </c>
      <c r="H68" s="51">
        <f t="shared" si="7"/>
        <v>219.7</v>
      </c>
      <c r="I68" s="51">
        <f t="shared" si="7"/>
        <v>203.475</v>
      </c>
      <c r="J68" s="51">
        <f t="shared" si="7"/>
        <v>187.25</v>
      </c>
      <c r="K68" s="51">
        <f t="shared" si="7"/>
        <v>171.025</v>
      </c>
      <c r="L68" s="51">
        <f t="shared" si="7"/>
        <v>154.8</v>
      </c>
      <c r="M68" s="51">
        <f t="shared" si="7"/>
        <v>138.575</v>
      </c>
      <c r="N68" s="51">
        <f t="shared" si="7"/>
        <v>122.35</v>
      </c>
      <c r="O68" s="51">
        <f t="shared" si="7"/>
        <v>106.125</v>
      </c>
      <c r="P68" s="51">
        <f t="shared" si="7"/>
        <v>89.9</v>
      </c>
      <c r="Q68" s="51">
        <f t="shared" si="7"/>
        <v>73.675</v>
      </c>
      <c r="R68" s="51">
        <f t="shared" si="7"/>
        <v>57.45</v>
      </c>
      <c r="S68" s="51">
        <f t="shared" si="7"/>
        <v>41.225</v>
      </c>
      <c r="T68" s="1"/>
      <c r="U68" s="1"/>
      <c r="V68" s="1"/>
      <c r="W68" s="1"/>
      <c r="X68" s="1"/>
      <c r="Y68" s="1"/>
      <c r="Z68" s="1"/>
    </row>
    <row r="69" ht="14.25" customHeight="1" outlineLevel="1">
      <c r="A69" s="1"/>
      <c r="B69" s="42" t="s">
        <v>76</v>
      </c>
      <c r="C69" s="42"/>
      <c r="D69" s="51">
        <f>CapEx</f>
        <v>250</v>
      </c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1"/>
      <c r="U69" s="1"/>
      <c r="V69" s="1"/>
      <c r="W69" s="1"/>
      <c r="X69" s="1"/>
      <c r="Y69" s="1"/>
      <c r="Z69" s="1"/>
    </row>
    <row r="70" ht="14.25" customHeight="1" outlineLevel="1">
      <c r="A70" s="1"/>
      <c r="B70" s="42" t="s">
        <v>77</v>
      </c>
      <c r="C70" s="42"/>
      <c r="D70" s="51">
        <f t="shared" ref="D70:S70" si="8">IF(D67=0,D85,0)</f>
        <v>18.375</v>
      </c>
      <c r="E70" s="51">
        <f t="shared" si="8"/>
        <v>0</v>
      </c>
      <c r="F70" s="51">
        <f t="shared" si="8"/>
        <v>0</v>
      </c>
      <c r="G70" s="51">
        <f t="shared" si="8"/>
        <v>0</v>
      </c>
      <c r="H70" s="51">
        <f t="shared" si="8"/>
        <v>0</v>
      </c>
      <c r="I70" s="51">
        <f t="shared" si="8"/>
        <v>0</v>
      </c>
      <c r="J70" s="51">
        <f t="shared" si="8"/>
        <v>0</v>
      </c>
      <c r="K70" s="51">
        <f t="shared" si="8"/>
        <v>0</v>
      </c>
      <c r="L70" s="51">
        <f t="shared" si="8"/>
        <v>0</v>
      </c>
      <c r="M70" s="51">
        <f t="shared" si="8"/>
        <v>0</v>
      </c>
      <c r="N70" s="51">
        <f t="shared" si="8"/>
        <v>0</v>
      </c>
      <c r="O70" s="51">
        <f t="shared" si="8"/>
        <v>0</v>
      </c>
      <c r="P70" s="51">
        <f t="shared" si="8"/>
        <v>0</v>
      </c>
      <c r="Q70" s="51">
        <f t="shared" si="8"/>
        <v>0</v>
      </c>
      <c r="R70" s="51">
        <f t="shared" si="8"/>
        <v>0</v>
      </c>
      <c r="S70" s="51">
        <f t="shared" si="8"/>
        <v>0</v>
      </c>
      <c r="T70" s="1"/>
      <c r="U70" s="1"/>
      <c r="V70" s="1"/>
      <c r="W70" s="1"/>
      <c r="X70" s="1"/>
      <c r="Y70" s="1"/>
      <c r="Z70" s="1"/>
    </row>
    <row r="71" ht="14.25" customHeight="1" outlineLevel="1">
      <c r="A71" s="1"/>
      <c r="B71" s="42" t="s">
        <v>78</v>
      </c>
      <c r="C71" s="42"/>
      <c r="D71" s="51">
        <f>-IF(D67=0,0,($D$72-CapEx*Salvage_Value)/Project_Life)</f>
        <v>0</v>
      </c>
      <c r="E71" s="51">
        <f>-IF(E67=0,0,($D$72-CapEx*Salvage_Value)/Project_Life)</f>
        <v>-16.225</v>
      </c>
      <c r="F71" s="51">
        <f>-IF(F67=0,0,($D$72-CapEx*Salvage_Value)/Project_Life)</f>
        <v>-16.225</v>
      </c>
      <c r="G71" s="51">
        <f>-IF(G67=0,0,($D$72-CapEx*Salvage_Value)/Project_Life)</f>
        <v>-16.225</v>
      </c>
      <c r="H71" s="51">
        <f>-IF(H67=0,0,($D$72-CapEx*Salvage_Value)/Project_Life)</f>
        <v>-16.225</v>
      </c>
      <c r="I71" s="51">
        <f>-IF(I67=0,0,($D$72-CapEx*Salvage_Value)/Project_Life)</f>
        <v>-16.225</v>
      </c>
      <c r="J71" s="51">
        <f>-IF(J67=0,0,($D$72-CapEx*Salvage_Value)/Project_Life)</f>
        <v>-16.225</v>
      </c>
      <c r="K71" s="51">
        <f>-IF(K67=0,0,($D$72-CapEx*Salvage_Value)/Project_Life)</f>
        <v>-16.225</v>
      </c>
      <c r="L71" s="51">
        <f>-IF(L67=0,0,($D$72-CapEx*Salvage_Value)/Project_Life)</f>
        <v>-16.225</v>
      </c>
      <c r="M71" s="51">
        <f>-IF(M67=0,0,($D$72-CapEx*Salvage_Value)/Project_Life)</f>
        <v>-16.225</v>
      </c>
      <c r="N71" s="51">
        <f>-IF(N67=0,0,($D$72-CapEx*Salvage_Value)/Project_Life)</f>
        <v>-16.225</v>
      </c>
      <c r="O71" s="51">
        <f>-IF(O67=0,0,($D$72-CapEx*Salvage_Value)/Project_Life)</f>
        <v>-16.225</v>
      </c>
      <c r="P71" s="51">
        <f>-IF(P67=0,0,($D$72-CapEx*Salvage_Value)/Project_Life)</f>
        <v>-16.225</v>
      </c>
      <c r="Q71" s="51">
        <f>-IF(Q67=0,0,($D$72-CapEx*Salvage_Value)/Project_Life)</f>
        <v>-16.225</v>
      </c>
      <c r="R71" s="51">
        <f>-IF(R67=0,0,($D$72-CapEx*Salvage_Value)/Project_Life)</f>
        <v>-16.225</v>
      </c>
      <c r="S71" s="51">
        <f>-IF(S67=0,0,($D$72-CapEx*Salvage_Value)/Project_Life)</f>
        <v>-16.225</v>
      </c>
      <c r="T71" s="1"/>
      <c r="U71" s="1"/>
      <c r="V71" s="1"/>
      <c r="W71" s="1"/>
      <c r="X71" s="1"/>
      <c r="Y71" s="1"/>
      <c r="Z71" s="1"/>
    </row>
    <row r="72" ht="14.25" customHeight="1" outlineLevel="1">
      <c r="A72" s="1"/>
      <c r="B72" s="55" t="s">
        <v>79</v>
      </c>
      <c r="C72" s="56"/>
      <c r="D72" s="57">
        <f t="shared" ref="D72:S72" si="9">SUM(D68:D71)</f>
        <v>268.375</v>
      </c>
      <c r="E72" s="57">
        <f t="shared" si="9"/>
        <v>252.15</v>
      </c>
      <c r="F72" s="57">
        <f t="shared" si="9"/>
        <v>235.925</v>
      </c>
      <c r="G72" s="57">
        <f t="shared" si="9"/>
        <v>219.7</v>
      </c>
      <c r="H72" s="57">
        <f t="shared" si="9"/>
        <v>203.475</v>
      </c>
      <c r="I72" s="57">
        <f t="shared" si="9"/>
        <v>187.25</v>
      </c>
      <c r="J72" s="57">
        <f t="shared" si="9"/>
        <v>171.025</v>
      </c>
      <c r="K72" s="57">
        <f t="shared" si="9"/>
        <v>154.8</v>
      </c>
      <c r="L72" s="57">
        <f t="shared" si="9"/>
        <v>138.575</v>
      </c>
      <c r="M72" s="57">
        <f t="shared" si="9"/>
        <v>122.35</v>
      </c>
      <c r="N72" s="57">
        <f t="shared" si="9"/>
        <v>106.125</v>
      </c>
      <c r="O72" s="57">
        <f t="shared" si="9"/>
        <v>89.9</v>
      </c>
      <c r="P72" s="57">
        <f t="shared" si="9"/>
        <v>73.675</v>
      </c>
      <c r="Q72" s="57">
        <f t="shared" si="9"/>
        <v>57.45</v>
      </c>
      <c r="R72" s="57">
        <f t="shared" si="9"/>
        <v>41.225</v>
      </c>
      <c r="S72" s="57">
        <f t="shared" si="9"/>
        <v>25</v>
      </c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 t="s">
        <v>24</v>
      </c>
      <c r="B74" s="34" t="s">
        <v>80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 outlineLevel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 outlineLevel="1">
      <c r="A77" s="1"/>
      <c r="B77" s="42" t="s">
        <v>81</v>
      </c>
      <c r="C77" s="62">
        <v>250.0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 outlineLevel="1">
      <c r="A78" s="1"/>
      <c r="B78" s="42" t="s">
        <v>82</v>
      </c>
      <c r="C78" s="62">
        <f>C77*C26</f>
        <v>175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 outlineLevel="1">
      <c r="A79" s="1"/>
      <c r="B79" s="42" t="s">
        <v>83</v>
      </c>
      <c r="C79" s="62">
        <f>C77-C78</f>
        <v>75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 outlineLevel="1">
      <c r="A80" s="1"/>
      <c r="B80" s="42" t="s">
        <v>84</v>
      </c>
      <c r="C80" s="63">
        <f t="shared" ref="C80:C81" si="10">C27</f>
        <v>10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 outlineLevel="1">
      <c r="A81" s="1"/>
      <c r="B81" s="42" t="s">
        <v>85</v>
      </c>
      <c r="C81" s="64">
        <f t="shared" si="10"/>
        <v>0.105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 outlineLevel="1">
      <c r="A82" s="1"/>
      <c r="B82" s="65"/>
      <c r="C82" s="66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 outlineLevel="1">
      <c r="A83" s="1"/>
      <c r="B83" s="67"/>
      <c r="C83" s="67"/>
      <c r="D83" s="58">
        <v>1.0</v>
      </c>
      <c r="E83" s="59">
        <v>2.0</v>
      </c>
      <c r="F83" s="59">
        <v>3.0</v>
      </c>
      <c r="G83" s="59">
        <v>4.0</v>
      </c>
      <c r="H83" s="59">
        <v>5.0</v>
      </c>
      <c r="I83" s="59">
        <v>6.0</v>
      </c>
      <c r="J83" s="59">
        <v>7.0</v>
      </c>
      <c r="K83" s="59">
        <v>8.0</v>
      </c>
      <c r="L83" s="59">
        <v>9.0</v>
      </c>
      <c r="M83" s="59">
        <v>10.0</v>
      </c>
      <c r="N83" s="59">
        <v>11.0</v>
      </c>
      <c r="O83" s="59">
        <v>12.0</v>
      </c>
      <c r="P83" s="59">
        <v>13.0</v>
      </c>
      <c r="Q83" s="59">
        <v>14.0</v>
      </c>
      <c r="R83" s="59">
        <v>15.0</v>
      </c>
      <c r="S83" s="1"/>
      <c r="T83" s="1"/>
      <c r="U83" s="1"/>
      <c r="V83" s="1"/>
      <c r="W83" s="1"/>
      <c r="X83" s="1"/>
      <c r="Y83" s="1"/>
      <c r="Z83" s="1"/>
    </row>
    <row r="84" ht="14.25" customHeight="1" outlineLevel="1">
      <c r="A84" s="1"/>
      <c r="B84" s="68" t="s">
        <v>75</v>
      </c>
      <c r="C84" s="69"/>
      <c r="D84" s="70">
        <f>IFERROR(C88,"-")</f>
        <v>175</v>
      </c>
      <c r="E84" s="70">
        <f t="shared" ref="E84:R84" si="11">D88</f>
        <v>175</v>
      </c>
      <c r="F84" s="70">
        <f t="shared" si="11"/>
        <v>164.2799689</v>
      </c>
      <c r="G84" s="70">
        <f t="shared" si="11"/>
        <v>152.4343345</v>
      </c>
      <c r="H84" s="70">
        <f t="shared" si="11"/>
        <v>139.3449085</v>
      </c>
      <c r="I84" s="70">
        <f t="shared" si="11"/>
        <v>124.8810928</v>
      </c>
      <c r="J84" s="70">
        <f t="shared" si="11"/>
        <v>108.8985765</v>
      </c>
      <c r="K84" s="70">
        <f t="shared" si="11"/>
        <v>91.23789587</v>
      </c>
      <c r="L84" s="70">
        <f t="shared" si="11"/>
        <v>71.72284382</v>
      </c>
      <c r="M84" s="70">
        <f t="shared" si="11"/>
        <v>50.15871132</v>
      </c>
      <c r="N84" s="70">
        <f t="shared" si="11"/>
        <v>26.3303449</v>
      </c>
      <c r="O84" s="71">
        <f t="shared" si="11"/>
        <v>0</v>
      </c>
      <c r="P84" s="71" t="str">
        <f t="shared" si="11"/>
        <v>-</v>
      </c>
      <c r="Q84" s="71" t="str">
        <f t="shared" si="11"/>
        <v>-</v>
      </c>
      <c r="R84" s="71" t="str">
        <f t="shared" si="11"/>
        <v>-</v>
      </c>
      <c r="S84" s="1"/>
      <c r="T84" s="1"/>
      <c r="U84" s="1"/>
      <c r="V84" s="1"/>
      <c r="W84" s="1"/>
      <c r="X84" s="1"/>
      <c r="Y84" s="1"/>
      <c r="Z84" s="1"/>
    </row>
    <row r="85" ht="14.25" customHeight="1" outlineLevel="1">
      <c r="A85" s="1"/>
      <c r="B85" s="68" t="s">
        <v>86</v>
      </c>
      <c r="C85" s="69"/>
      <c r="D85" s="70">
        <f t="shared" ref="D85:R85" si="12">IFERROR(D84*$C$81,"-")</f>
        <v>18.375</v>
      </c>
      <c r="E85" s="70">
        <f t="shared" si="12"/>
        <v>18.375</v>
      </c>
      <c r="F85" s="70">
        <f t="shared" si="12"/>
        <v>17.24939673</v>
      </c>
      <c r="G85" s="70">
        <f t="shared" si="12"/>
        <v>16.00560512</v>
      </c>
      <c r="H85" s="70">
        <f t="shared" si="12"/>
        <v>14.6312154</v>
      </c>
      <c r="I85" s="70">
        <f t="shared" si="12"/>
        <v>13.11251475</v>
      </c>
      <c r="J85" s="70">
        <f t="shared" si="12"/>
        <v>11.43435053</v>
      </c>
      <c r="K85" s="70">
        <f t="shared" si="12"/>
        <v>9.579979066</v>
      </c>
      <c r="L85" s="70">
        <f t="shared" si="12"/>
        <v>7.530898602</v>
      </c>
      <c r="M85" s="70">
        <f t="shared" si="12"/>
        <v>5.266664688</v>
      </c>
      <c r="N85" s="70">
        <f t="shared" si="12"/>
        <v>2.764686214</v>
      </c>
      <c r="O85" s="71">
        <f t="shared" si="12"/>
        <v>0</v>
      </c>
      <c r="P85" s="71" t="str">
        <f t="shared" si="12"/>
        <v>-</v>
      </c>
      <c r="Q85" s="71" t="str">
        <f t="shared" si="12"/>
        <v>-</v>
      </c>
      <c r="R85" s="71" t="str">
        <f t="shared" si="12"/>
        <v>-</v>
      </c>
      <c r="S85" s="1"/>
      <c r="T85" s="1"/>
      <c r="U85" s="1"/>
      <c r="V85" s="1"/>
      <c r="W85" s="1"/>
      <c r="X85" s="1"/>
      <c r="Y85" s="1"/>
      <c r="Z85" s="1"/>
    </row>
    <row r="86" ht="14.25" customHeight="1" outlineLevel="1">
      <c r="A86" s="1"/>
      <c r="B86" s="68" t="s">
        <v>87</v>
      </c>
      <c r="C86" s="69"/>
      <c r="D86" s="72"/>
      <c r="E86" s="70">
        <f t="shared" ref="E86:R86" si="13">IFERROR(-PPMT($C$81,D83,$C$80,$C$78),"-")</f>
        <v>10.72003111</v>
      </c>
      <c r="F86" s="70">
        <f t="shared" si="13"/>
        <v>11.84563438</v>
      </c>
      <c r="G86" s="70">
        <f t="shared" si="13"/>
        <v>13.08942599</v>
      </c>
      <c r="H86" s="70">
        <f t="shared" si="13"/>
        <v>14.46381571</v>
      </c>
      <c r="I86" s="70">
        <f t="shared" si="13"/>
        <v>15.98251636</v>
      </c>
      <c r="J86" s="70">
        <f t="shared" si="13"/>
        <v>17.66068058</v>
      </c>
      <c r="K86" s="70">
        <f t="shared" si="13"/>
        <v>19.51505204</v>
      </c>
      <c r="L86" s="70">
        <f t="shared" si="13"/>
        <v>21.56413251</v>
      </c>
      <c r="M86" s="70">
        <f t="shared" si="13"/>
        <v>23.82836642</v>
      </c>
      <c r="N86" s="70">
        <f t="shared" si="13"/>
        <v>26.3303449</v>
      </c>
      <c r="O86" s="71" t="str">
        <f t="shared" si="13"/>
        <v>-</v>
      </c>
      <c r="P86" s="71" t="str">
        <f t="shared" si="13"/>
        <v>-</v>
      </c>
      <c r="Q86" s="71" t="str">
        <f t="shared" si="13"/>
        <v>-</v>
      </c>
      <c r="R86" s="71" t="str">
        <f t="shared" si="13"/>
        <v>-</v>
      </c>
      <c r="S86" s="1"/>
      <c r="T86" s="1"/>
      <c r="U86" s="1"/>
      <c r="V86" s="1"/>
      <c r="W86" s="1"/>
      <c r="X86" s="1"/>
      <c r="Y86" s="1"/>
      <c r="Z86" s="1"/>
    </row>
    <row r="87" ht="14.25" customHeight="1" outlineLevel="1">
      <c r="A87" s="1"/>
      <c r="B87" s="68" t="s">
        <v>88</v>
      </c>
      <c r="C87" s="69"/>
      <c r="D87" s="72"/>
      <c r="E87" s="73">
        <f t="shared" ref="E87:R87" si="14">IF(E83 &gt; ($C$80 + 1), 0, -PMT($C$81, $C$80, $C$78))</f>
        <v>29.09503111</v>
      </c>
      <c r="F87" s="73">
        <f t="shared" si="14"/>
        <v>29.09503111</v>
      </c>
      <c r="G87" s="73">
        <f t="shared" si="14"/>
        <v>29.09503111</v>
      </c>
      <c r="H87" s="73">
        <f t="shared" si="14"/>
        <v>29.09503111</v>
      </c>
      <c r="I87" s="73">
        <f t="shared" si="14"/>
        <v>29.09503111</v>
      </c>
      <c r="J87" s="73">
        <f t="shared" si="14"/>
        <v>29.09503111</v>
      </c>
      <c r="K87" s="73">
        <f t="shared" si="14"/>
        <v>29.09503111</v>
      </c>
      <c r="L87" s="73">
        <f t="shared" si="14"/>
        <v>29.09503111</v>
      </c>
      <c r="M87" s="73">
        <f t="shared" si="14"/>
        <v>29.09503111</v>
      </c>
      <c r="N87" s="73">
        <f t="shared" si="14"/>
        <v>29.09503111</v>
      </c>
      <c r="O87" s="73">
        <f t="shared" si="14"/>
        <v>0</v>
      </c>
      <c r="P87" s="73">
        <f t="shared" si="14"/>
        <v>0</v>
      </c>
      <c r="Q87" s="73">
        <f t="shared" si="14"/>
        <v>0</v>
      </c>
      <c r="R87" s="73">
        <f t="shared" si="14"/>
        <v>0</v>
      </c>
      <c r="S87" s="1"/>
      <c r="T87" s="1"/>
      <c r="U87" s="1"/>
      <c r="V87" s="1"/>
      <c r="W87" s="1"/>
      <c r="X87" s="1"/>
      <c r="Y87" s="1"/>
      <c r="Z87" s="1"/>
    </row>
    <row r="88" ht="14.25" customHeight="1" outlineLevel="1">
      <c r="A88" s="74"/>
      <c r="B88" s="75" t="s">
        <v>89</v>
      </c>
      <c r="C88" s="76">
        <f>C78</f>
        <v>175</v>
      </c>
      <c r="D88" s="76">
        <f t="shared" ref="D88:R88" si="15">IFERROR(D84-D86,"-")</f>
        <v>175</v>
      </c>
      <c r="E88" s="76">
        <f t="shared" si="15"/>
        <v>164.2799689</v>
      </c>
      <c r="F88" s="76">
        <f t="shared" si="15"/>
        <v>152.4343345</v>
      </c>
      <c r="G88" s="76">
        <f t="shared" si="15"/>
        <v>139.3449085</v>
      </c>
      <c r="H88" s="76">
        <f t="shared" si="15"/>
        <v>124.8810928</v>
      </c>
      <c r="I88" s="76">
        <f t="shared" si="15"/>
        <v>108.8985765</v>
      </c>
      <c r="J88" s="76">
        <f t="shared" si="15"/>
        <v>91.23789587</v>
      </c>
      <c r="K88" s="76">
        <f t="shared" si="15"/>
        <v>71.72284382</v>
      </c>
      <c r="L88" s="76">
        <f t="shared" si="15"/>
        <v>50.15871132</v>
      </c>
      <c r="M88" s="76">
        <f t="shared" si="15"/>
        <v>26.3303449</v>
      </c>
      <c r="N88" s="76">
        <f t="shared" si="15"/>
        <v>0</v>
      </c>
      <c r="O88" s="77" t="str">
        <f t="shared" si="15"/>
        <v>-</v>
      </c>
      <c r="P88" s="77" t="str">
        <f t="shared" si="15"/>
        <v>-</v>
      </c>
      <c r="Q88" s="77" t="str">
        <f t="shared" si="15"/>
        <v>-</v>
      </c>
      <c r="R88" s="77" t="str">
        <f t="shared" si="15"/>
        <v>-</v>
      </c>
      <c r="S88" s="74"/>
      <c r="T88" s="74"/>
      <c r="U88" s="74"/>
      <c r="V88" s="74"/>
      <c r="W88" s="74"/>
      <c r="X88" s="74"/>
      <c r="Y88" s="74"/>
      <c r="Z88" s="74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 t="s">
        <v>24</v>
      </c>
      <c r="B90" s="34" t="s">
        <v>20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 outlineLevel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 outlineLevel="1">
      <c r="A92" s="1"/>
      <c r="B92" s="1"/>
      <c r="C92" s="78">
        <v>0.0</v>
      </c>
      <c r="D92" s="59">
        <f t="shared" ref="D92:S92" si="16">D59</f>
        <v>1</v>
      </c>
      <c r="E92" s="59">
        <f t="shared" si="16"/>
        <v>2</v>
      </c>
      <c r="F92" s="59">
        <f t="shared" si="16"/>
        <v>3</v>
      </c>
      <c r="G92" s="59">
        <f t="shared" si="16"/>
        <v>4</v>
      </c>
      <c r="H92" s="59">
        <f t="shared" si="16"/>
        <v>5</v>
      </c>
      <c r="I92" s="59">
        <f t="shared" si="16"/>
        <v>6</v>
      </c>
      <c r="J92" s="59">
        <f t="shared" si="16"/>
        <v>7</v>
      </c>
      <c r="K92" s="59">
        <f t="shared" si="16"/>
        <v>8</v>
      </c>
      <c r="L92" s="59">
        <f t="shared" si="16"/>
        <v>9</v>
      </c>
      <c r="M92" s="59">
        <f t="shared" si="16"/>
        <v>10</v>
      </c>
      <c r="N92" s="59">
        <f t="shared" si="16"/>
        <v>11</v>
      </c>
      <c r="O92" s="59">
        <f t="shared" si="16"/>
        <v>12</v>
      </c>
      <c r="P92" s="59">
        <f t="shared" si="16"/>
        <v>13</v>
      </c>
      <c r="Q92" s="59">
        <f t="shared" si="16"/>
        <v>14</v>
      </c>
      <c r="R92" s="58">
        <f t="shared" si="16"/>
        <v>15</v>
      </c>
      <c r="S92" s="59">
        <f t="shared" si="16"/>
        <v>16</v>
      </c>
      <c r="T92" s="1"/>
      <c r="U92" s="1"/>
      <c r="V92" s="1"/>
      <c r="W92" s="1"/>
      <c r="X92" s="1"/>
      <c r="Y92" s="1"/>
      <c r="Z92" s="1"/>
    </row>
    <row r="93" ht="14.25" customHeight="1" outlineLevel="1">
      <c r="A93" s="79"/>
      <c r="B93" s="80" t="s">
        <v>90</v>
      </c>
      <c r="C93" s="81"/>
      <c r="D93" s="82">
        <v>0.0</v>
      </c>
      <c r="E93" s="82">
        <v>1.0</v>
      </c>
      <c r="F93" s="82">
        <f t="shared" ref="F93:S93" si="17">1</f>
        <v>1</v>
      </c>
      <c r="G93" s="82">
        <f t="shared" si="17"/>
        <v>1</v>
      </c>
      <c r="H93" s="82">
        <f t="shared" si="17"/>
        <v>1</v>
      </c>
      <c r="I93" s="82">
        <f t="shared" si="17"/>
        <v>1</v>
      </c>
      <c r="J93" s="82">
        <f t="shared" si="17"/>
        <v>1</v>
      </c>
      <c r="K93" s="82">
        <f t="shared" si="17"/>
        <v>1</v>
      </c>
      <c r="L93" s="82">
        <f t="shared" si="17"/>
        <v>1</v>
      </c>
      <c r="M93" s="82">
        <f t="shared" si="17"/>
        <v>1</v>
      </c>
      <c r="N93" s="82">
        <f t="shared" si="17"/>
        <v>1</v>
      </c>
      <c r="O93" s="82">
        <f t="shared" si="17"/>
        <v>1</v>
      </c>
      <c r="P93" s="82">
        <f t="shared" si="17"/>
        <v>1</v>
      </c>
      <c r="Q93" s="82">
        <f t="shared" si="17"/>
        <v>1</v>
      </c>
      <c r="R93" s="82">
        <f t="shared" si="17"/>
        <v>1</v>
      </c>
      <c r="S93" s="82">
        <f t="shared" si="17"/>
        <v>1</v>
      </c>
      <c r="T93" s="79"/>
      <c r="U93" s="79"/>
      <c r="V93" s="79"/>
      <c r="W93" s="79"/>
      <c r="X93" s="79"/>
      <c r="Y93" s="79"/>
      <c r="Z93" s="79"/>
    </row>
    <row r="94" ht="14.25" customHeight="1" outlineLevel="1">
      <c r="A94" s="1"/>
      <c r="B94" s="83" t="s">
        <v>72</v>
      </c>
      <c r="C94" s="69"/>
      <c r="D94" s="70">
        <f t="shared" ref="D94:S94" si="18">D46</f>
        <v>0</v>
      </c>
      <c r="E94" s="70">
        <f t="shared" si="18"/>
        <v>66.795</v>
      </c>
      <c r="F94" s="70">
        <f t="shared" si="18"/>
        <v>67.9555905</v>
      </c>
      <c r="G94" s="70">
        <f t="shared" si="18"/>
        <v>69.13843415</v>
      </c>
      <c r="H94" s="70">
        <f t="shared" si="18"/>
        <v>70.34401133</v>
      </c>
      <c r="I94" s="70">
        <f t="shared" si="18"/>
        <v>71.57281404</v>
      </c>
      <c r="J94" s="70">
        <f t="shared" si="18"/>
        <v>72.82534623</v>
      </c>
      <c r="K94" s="70">
        <f t="shared" si="18"/>
        <v>74.10212406</v>
      </c>
      <c r="L94" s="70">
        <f t="shared" si="18"/>
        <v>75.40367628</v>
      </c>
      <c r="M94" s="70">
        <f t="shared" si="18"/>
        <v>76.73054455</v>
      </c>
      <c r="N94" s="70">
        <f t="shared" si="18"/>
        <v>78.08328377</v>
      </c>
      <c r="O94" s="70">
        <f t="shared" si="18"/>
        <v>79.46246242</v>
      </c>
      <c r="P94" s="70">
        <f t="shared" si="18"/>
        <v>80.86866296</v>
      </c>
      <c r="Q94" s="70">
        <f t="shared" si="18"/>
        <v>82.30248219</v>
      </c>
      <c r="R94" s="70">
        <f t="shared" si="18"/>
        <v>83.76453161</v>
      </c>
      <c r="S94" s="70">
        <f t="shared" si="18"/>
        <v>85.25543783</v>
      </c>
      <c r="T94" s="1"/>
      <c r="U94" s="1"/>
      <c r="V94" s="1"/>
      <c r="W94" s="1"/>
      <c r="X94" s="1"/>
      <c r="Y94" s="1"/>
      <c r="Z94" s="1"/>
    </row>
    <row r="95" ht="14.25" customHeight="1" outlineLevel="1">
      <c r="A95" s="1"/>
      <c r="B95" s="83" t="s">
        <v>91</v>
      </c>
      <c r="C95" s="69"/>
      <c r="D95" s="70">
        <f t="shared" ref="D95:S95" si="19">-D55</f>
        <v>0</v>
      </c>
      <c r="E95" s="70">
        <f t="shared" si="19"/>
        <v>-13.7852</v>
      </c>
      <c r="F95" s="70">
        <f t="shared" si="19"/>
        <v>-14.15273972</v>
      </c>
      <c r="G95" s="70">
        <f t="shared" si="19"/>
        <v>-14.53016213</v>
      </c>
      <c r="H95" s="70">
        <f t="shared" si="19"/>
        <v>-14.91773529</v>
      </c>
      <c r="I95" s="70">
        <f t="shared" si="19"/>
        <v>-15.3157346</v>
      </c>
      <c r="J95" s="70">
        <f t="shared" si="19"/>
        <v>-15.724443</v>
      </c>
      <c r="K95" s="70">
        <f t="shared" si="19"/>
        <v>-16.14415117</v>
      </c>
      <c r="L95" s="70">
        <f t="shared" si="19"/>
        <v>-16.57515777</v>
      </c>
      <c r="M95" s="70">
        <f t="shared" si="19"/>
        <v>-17.01776962</v>
      </c>
      <c r="N95" s="70">
        <f t="shared" si="19"/>
        <v>-17.47230194</v>
      </c>
      <c r="O95" s="70">
        <f t="shared" si="19"/>
        <v>-17.93907862</v>
      </c>
      <c r="P95" s="70">
        <f t="shared" si="19"/>
        <v>-18.41843239</v>
      </c>
      <c r="Q95" s="70">
        <f t="shared" si="19"/>
        <v>-18.91070514</v>
      </c>
      <c r="R95" s="70">
        <f t="shared" si="19"/>
        <v>-19.4162481</v>
      </c>
      <c r="S95" s="70">
        <f t="shared" si="19"/>
        <v>-19.93542217</v>
      </c>
      <c r="T95" s="1"/>
      <c r="U95" s="1"/>
      <c r="V95" s="1"/>
      <c r="W95" s="1"/>
      <c r="X95" s="1"/>
      <c r="Y95" s="1"/>
      <c r="Z95" s="1"/>
    </row>
    <row r="96" ht="14.25" customHeight="1" outlineLevel="1">
      <c r="A96" s="1"/>
      <c r="B96" s="84" t="s">
        <v>92</v>
      </c>
      <c r="C96" s="85"/>
      <c r="D96" s="76">
        <f t="shared" ref="D96:S96" si="20">SUM(D94:D95)</f>
        <v>0</v>
      </c>
      <c r="E96" s="76">
        <f t="shared" si="20"/>
        <v>53.0098</v>
      </c>
      <c r="F96" s="76">
        <f t="shared" si="20"/>
        <v>53.80285078</v>
      </c>
      <c r="G96" s="76">
        <f t="shared" si="20"/>
        <v>54.60827202</v>
      </c>
      <c r="H96" s="76">
        <f t="shared" si="20"/>
        <v>55.42627604</v>
      </c>
      <c r="I96" s="76">
        <f t="shared" si="20"/>
        <v>56.25707945</v>
      </c>
      <c r="J96" s="76">
        <f t="shared" si="20"/>
        <v>57.10090323</v>
      </c>
      <c r="K96" s="76">
        <f t="shared" si="20"/>
        <v>57.95797288</v>
      </c>
      <c r="L96" s="76">
        <f t="shared" si="20"/>
        <v>58.82851851</v>
      </c>
      <c r="M96" s="76">
        <f t="shared" si="20"/>
        <v>59.71277494</v>
      </c>
      <c r="N96" s="76">
        <f t="shared" si="20"/>
        <v>60.61098182</v>
      </c>
      <c r="O96" s="76">
        <f t="shared" si="20"/>
        <v>61.5233838</v>
      </c>
      <c r="P96" s="76">
        <f t="shared" si="20"/>
        <v>62.45023057</v>
      </c>
      <c r="Q96" s="76">
        <f t="shared" si="20"/>
        <v>63.39177705</v>
      </c>
      <c r="R96" s="76">
        <f t="shared" si="20"/>
        <v>64.3482835</v>
      </c>
      <c r="S96" s="76">
        <f t="shared" si="20"/>
        <v>65.32001566</v>
      </c>
      <c r="T96" s="1"/>
      <c r="U96" s="1"/>
      <c r="V96" s="1"/>
      <c r="W96" s="1"/>
      <c r="X96" s="1"/>
      <c r="Y96" s="1"/>
      <c r="Z96" s="1"/>
    </row>
    <row r="97" ht="14.25" customHeight="1" outlineLevel="1">
      <c r="A97" s="1"/>
      <c r="B97" s="83" t="s">
        <v>78</v>
      </c>
      <c r="C97" s="69"/>
      <c r="D97" s="70">
        <f>-D71</f>
        <v>0</v>
      </c>
      <c r="E97" s="70">
        <f t="shared" ref="E97:S97" si="21">E71</f>
        <v>-16.225</v>
      </c>
      <c r="F97" s="70">
        <f t="shared" si="21"/>
        <v>-16.225</v>
      </c>
      <c r="G97" s="70">
        <f t="shared" si="21"/>
        <v>-16.225</v>
      </c>
      <c r="H97" s="70">
        <f t="shared" si="21"/>
        <v>-16.225</v>
      </c>
      <c r="I97" s="70">
        <f t="shared" si="21"/>
        <v>-16.225</v>
      </c>
      <c r="J97" s="70">
        <f t="shared" si="21"/>
        <v>-16.225</v>
      </c>
      <c r="K97" s="70">
        <f t="shared" si="21"/>
        <v>-16.225</v>
      </c>
      <c r="L97" s="70">
        <f t="shared" si="21"/>
        <v>-16.225</v>
      </c>
      <c r="M97" s="70">
        <f t="shared" si="21"/>
        <v>-16.225</v>
      </c>
      <c r="N97" s="70">
        <f t="shared" si="21"/>
        <v>-16.225</v>
      </c>
      <c r="O97" s="70">
        <f t="shared" si="21"/>
        <v>-16.225</v>
      </c>
      <c r="P97" s="70">
        <f t="shared" si="21"/>
        <v>-16.225</v>
      </c>
      <c r="Q97" s="70">
        <f t="shared" si="21"/>
        <v>-16.225</v>
      </c>
      <c r="R97" s="70">
        <f t="shared" si="21"/>
        <v>-16.225</v>
      </c>
      <c r="S97" s="70">
        <f t="shared" si="21"/>
        <v>-16.225</v>
      </c>
      <c r="T97" s="1"/>
      <c r="U97" s="1"/>
      <c r="V97" s="1"/>
      <c r="W97" s="1"/>
      <c r="X97" s="1"/>
      <c r="Y97" s="1"/>
      <c r="Z97" s="1"/>
    </row>
    <row r="98" ht="14.25" customHeight="1" outlineLevel="1">
      <c r="A98" s="1"/>
      <c r="B98" s="83" t="s">
        <v>86</v>
      </c>
      <c r="C98" s="86" t="s">
        <v>93</v>
      </c>
      <c r="D98" s="70">
        <f t="shared" ref="D98:S98" si="22">IFERROR(-D85*D93,"-")</f>
        <v>0</v>
      </c>
      <c r="E98" s="70">
        <f t="shared" si="22"/>
        <v>-18.375</v>
      </c>
      <c r="F98" s="70">
        <f t="shared" si="22"/>
        <v>-17.24939673</v>
      </c>
      <c r="G98" s="70">
        <f t="shared" si="22"/>
        <v>-16.00560512</v>
      </c>
      <c r="H98" s="70">
        <f t="shared" si="22"/>
        <v>-14.6312154</v>
      </c>
      <c r="I98" s="70">
        <f t="shared" si="22"/>
        <v>-13.11251475</v>
      </c>
      <c r="J98" s="70">
        <f t="shared" si="22"/>
        <v>-11.43435053</v>
      </c>
      <c r="K98" s="70">
        <f t="shared" si="22"/>
        <v>-9.579979066</v>
      </c>
      <c r="L98" s="70">
        <f t="shared" si="22"/>
        <v>-7.530898602</v>
      </c>
      <c r="M98" s="70">
        <f t="shared" si="22"/>
        <v>-5.266664688</v>
      </c>
      <c r="N98" s="70">
        <f t="shared" si="22"/>
        <v>-2.764686214</v>
      </c>
      <c r="O98" s="70">
        <f t="shared" si="22"/>
        <v>0</v>
      </c>
      <c r="P98" s="70" t="str">
        <f t="shared" si="22"/>
        <v>-</v>
      </c>
      <c r="Q98" s="70" t="str">
        <f t="shared" si="22"/>
        <v>-</v>
      </c>
      <c r="R98" s="70" t="str">
        <f t="shared" si="22"/>
        <v>-</v>
      </c>
      <c r="S98" s="70">
        <f t="shared" si="22"/>
        <v>0</v>
      </c>
      <c r="T98" s="1"/>
      <c r="U98" s="1"/>
      <c r="V98" s="1"/>
      <c r="W98" s="1"/>
      <c r="X98" s="1"/>
      <c r="Y98" s="1"/>
      <c r="Z98" s="1"/>
    </row>
    <row r="99" ht="14.25" customHeight="1" outlineLevel="1">
      <c r="A99" s="1"/>
      <c r="B99" s="84" t="s">
        <v>94</v>
      </c>
      <c r="C99" s="85"/>
      <c r="D99" s="76">
        <f t="shared" ref="D99:S99" si="23">SUM(D96:D98)</f>
        <v>0</v>
      </c>
      <c r="E99" s="76">
        <f t="shared" si="23"/>
        <v>18.4098</v>
      </c>
      <c r="F99" s="76">
        <f t="shared" si="23"/>
        <v>20.32845405</v>
      </c>
      <c r="G99" s="76">
        <f t="shared" si="23"/>
        <v>22.3776669</v>
      </c>
      <c r="H99" s="76">
        <f t="shared" si="23"/>
        <v>24.57006065</v>
      </c>
      <c r="I99" s="76">
        <f t="shared" si="23"/>
        <v>26.9195647</v>
      </c>
      <c r="J99" s="76">
        <f t="shared" si="23"/>
        <v>29.4415527</v>
      </c>
      <c r="K99" s="76">
        <f t="shared" si="23"/>
        <v>32.15299382</v>
      </c>
      <c r="L99" s="76">
        <f t="shared" si="23"/>
        <v>35.07261991</v>
      </c>
      <c r="M99" s="76">
        <f t="shared" si="23"/>
        <v>38.22111025</v>
      </c>
      <c r="N99" s="76">
        <f t="shared" si="23"/>
        <v>41.62129561</v>
      </c>
      <c r="O99" s="76">
        <f t="shared" si="23"/>
        <v>45.2983838</v>
      </c>
      <c r="P99" s="76">
        <f t="shared" si="23"/>
        <v>46.22523057</v>
      </c>
      <c r="Q99" s="76">
        <f t="shared" si="23"/>
        <v>47.16677705</v>
      </c>
      <c r="R99" s="76">
        <f t="shared" si="23"/>
        <v>48.1232835</v>
      </c>
      <c r="S99" s="76">
        <f t="shared" si="23"/>
        <v>49.09501566</v>
      </c>
      <c r="T99" s="1"/>
      <c r="U99" s="1"/>
      <c r="V99" s="1"/>
      <c r="W99" s="1"/>
      <c r="X99" s="1"/>
      <c r="Y99" s="1"/>
      <c r="Z99" s="1"/>
    </row>
    <row r="100" ht="14.25" customHeight="1" outlineLevel="1">
      <c r="A100" s="1"/>
      <c r="B100" s="83" t="s">
        <v>95</v>
      </c>
      <c r="C100" s="69"/>
      <c r="D100" s="70">
        <f t="shared" ref="D100:S100" si="24">IF(D99&gt;0,-D99*$C$31,0)</f>
        <v>0</v>
      </c>
      <c r="E100" s="70">
        <f t="shared" si="24"/>
        <v>-4.60245</v>
      </c>
      <c r="F100" s="70">
        <f t="shared" si="24"/>
        <v>-5.082113512</v>
      </c>
      <c r="G100" s="70">
        <f t="shared" si="24"/>
        <v>-5.594416724</v>
      </c>
      <c r="H100" s="70">
        <f t="shared" si="24"/>
        <v>-6.142515162</v>
      </c>
      <c r="I100" s="70">
        <f t="shared" si="24"/>
        <v>-6.729891175</v>
      </c>
      <c r="J100" s="70">
        <f t="shared" si="24"/>
        <v>-7.360388175</v>
      </c>
      <c r="K100" s="70">
        <f t="shared" si="24"/>
        <v>-8.038248454</v>
      </c>
      <c r="L100" s="70">
        <f t="shared" si="24"/>
        <v>-8.768154977</v>
      </c>
      <c r="M100" s="70">
        <f t="shared" si="24"/>
        <v>-9.555277562</v>
      </c>
      <c r="N100" s="70">
        <f t="shared" si="24"/>
        <v>-10.4053239</v>
      </c>
      <c r="O100" s="70">
        <f t="shared" si="24"/>
        <v>-11.32459595</v>
      </c>
      <c r="P100" s="70">
        <f t="shared" si="24"/>
        <v>-11.55630764</v>
      </c>
      <c r="Q100" s="70">
        <f t="shared" si="24"/>
        <v>-11.79169426</v>
      </c>
      <c r="R100" s="70">
        <f t="shared" si="24"/>
        <v>-12.03082088</v>
      </c>
      <c r="S100" s="70">
        <f t="shared" si="24"/>
        <v>-12.27375392</v>
      </c>
      <c r="T100" s="1"/>
      <c r="U100" s="1"/>
      <c r="V100" s="1"/>
      <c r="W100" s="1"/>
      <c r="X100" s="1"/>
      <c r="Y100" s="1"/>
      <c r="Z100" s="1"/>
    </row>
    <row r="101" ht="14.25" customHeight="1" outlineLevel="1">
      <c r="A101" s="1"/>
      <c r="B101" s="84" t="s">
        <v>96</v>
      </c>
      <c r="C101" s="85"/>
      <c r="D101" s="76">
        <f t="shared" ref="D101:S101" si="25">SUM(D99:D100)</f>
        <v>0</v>
      </c>
      <c r="E101" s="76">
        <f t="shared" si="25"/>
        <v>13.80735</v>
      </c>
      <c r="F101" s="76">
        <f t="shared" si="25"/>
        <v>15.24634053</v>
      </c>
      <c r="G101" s="76">
        <f t="shared" si="25"/>
        <v>16.78325017</v>
      </c>
      <c r="H101" s="76">
        <f t="shared" si="25"/>
        <v>18.42754548</v>
      </c>
      <c r="I101" s="76">
        <f t="shared" si="25"/>
        <v>20.18967353</v>
      </c>
      <c r="J101" s="76">
        <f t="shared" si="25"/>
        <v>22.08116453</v>
      </c>
      <c r="K101" s="76">
        <f t="shared" si="25"/>
        <v>24.11474536</v>
      </c>
      <c r="L101" s="76">
        <f t="shared" si="25"/>
        <v>26.30446493</v>
      </c>
      <c r="M101" s="76">
        <f t="shared" si="25"/>
        <v>28.66583269</v>
      </c>
      <c r="N101" s="76">
        <f t="shared" si="25"/>
        <v>31.21597171</v>
      </c>
      <c r="O101" s="76">
        <f t="shared" si="25"/>
        <v>33.97378785</v>
      </c>
      <c r="P101" s="76">
        <f t="shared" si="25"/>
        <v>34.66892293</v>
      </c>
      <c r="Q101" s="76">
        <f t="shared" si="25"/>
        <v>35.37508279</v>
      </c>
      <c r="R101" s="76">
        <f t="shared" si="25"/>
        <v>36.09246263</v>
      </c>
      <c r="S101" s="76">
        <f t="shared" si="25"/>
        <v>36.82126175</v>
      </c>
      <c r="T101" s="1"/>
      <c r="U101" s="1"/>
      <c r="V101" s="1"/>
      <c r="W101" s="1"/>
      <c r="X101" s="1"/>
      <c r="Y101" s="1"/>
      <c r="Z101" s="1"/>
    </row>
    <row r="102" ht="14.25" customHeight="1" outlineLevel="1">
      <c r="A102" s="1"/>
      <c r="B102" s="83" t="s">
        <v>97</v>
      </c>
      <c r="C102" s="69"/>
      <c r="D102" s="70">
        <f t="shared" ref="D102:S102" si="26">-D97</f>
        <v>0</v>
      </c>
      <c r="E102" s="70">
        <f t="shared" si="26"/>
        <v>16.225</v>
      </c>
      <c r="F102" s="70">
        <f t="shared" si="26"/>
        <v>16.225</v>
      </c>
      <c r="G102" s="70">
        <f t="shared" si="26"/>
        <v>16.225</v>
      </c>
      <c r="H102" s="70">
        <f t="shared" si="26"/>
        <v>16.225</v>
      </c>
      <c r="I102" s="70">
        <f t="shared" si="26"/>
        <v>16.225</v>
      </c>
      <c r="J102" s="70">
        <f t="shared" si="26"/>
        <v>16.225</v>
      </c>
      <c r="K102" s="70">
        <f t="shared" si="26"/>
        <v>16.225</v>
      </c>
      <c r="L102" s="70">
        <f t="shared" si="26"/>
        <v>16.225</v>
      </c>
      <c r="M102" s="70">
        <f t="shared" si="26"/>
        <v>16.225</v>
      </c>
      <c r="N102" s="70">
        <f t="shared" si="26"/>
        <v>16.225</v>
      </c>
      <c r="O102" s="70">
        <f t="shared" si="26"/>
        <v>16.225</v>
      </c>
      <c r="P102" s="70">
        <f t="shared" si="26"/>
        <v>16.225</v>
      </c>
      <c r="Q102" s="70">
        <f t="shared" si="26"/>
        <v>16.225</v>
      </c>
      <c r="R102" s="70">
        <f t="shared" si="26"/>
        <v>16.225</v>
      </c>
      <c r="S102" s="70">
        <f t="shared" si="26"/>
        <v>16.225</v>
      </c>
      <c r="T102" s="1"/>
      <c r="U102" s="1"/>
      <c r="V102" s="1"/>
      <c r="W102" s="1"/>
      <c r="X102" s="1"/>
      <c r="Y102" s="1"/>
      <c r="Z102" s="1"/>
    </row>
    <row r="103" ht="14.25" customHeight="1" outlineLevel="1">
      <c r="A103" s="1"/>
      <c r="B103" s="83" t="s">
        <v>98</v>
      </c>
      <c r="C103" s="69"/>
      <c r="D103" s="70">
        <f t="shared" ref="D103:S103" si="27">IFERROR(-D86,"-")</f>
        <v>0</v>
      </c>
      <c r="E103" s="70">
        <f t="shared" si="27"/>
        <v>-10.72003111</v>
      </c>
      <c r="F103" s="70">
        <f t="shared" si="27"/>
        <v>-11.84563438</v>
      </c>
      <c r="G103" s="70">
        <f t="shared" si="27"/>
        <v>-13.08942599</v>
      </c>
      <c r="H103" s="70">
        <f t="shared" si="27"/>
        <v>-14.46381571</v>
      </c>
      <c r="I103" s="70">
        <f t="shared" si="27"/>
        <v>-15.98251636</v>
      </c>
      <c r="J103" s="70">
        <f t="shared" si="27"/>
        <v>-17.66068058</v>
      </c>
      <c r="K103" s="70">
        <f t="shared" si="27"/>
        <v>-19.51505204</v>
      </c>
      <c r="L103" s="70">
        <f t="shared" si="27"/>
        <v>-21.56413251</v>
      </c>
      <c r="M103" s="70">
        <f t="shared" si="27"/>
        <v>-23.82836642</v>
      </c>
      <c r="N103" s="70">
        <f t="shared" si="27"/>
        <v>-26.3303449</v>
      </c>
      <c r="O103" s="70" t="str">
        <f t="shared" si="27"/>
        <v>-</v>
      </c>
      <c r="P103" s="70" t="str">
        <f t="shared" si="27"/>
        <v>-</v>
      </c>
      <c r="Q103" s="70" t="str">
        <f t="shared" si="27"/>
        <v>-</v>
      </c>
      <c r="R103" s="70" t="str">
        <f t="shared" si="27"/>
        <v>-</v>
      </c>
      <c r="S103" s="70">
        <f t="shared" si="27"/>
        <v>0</v>
      </c>
      <c r="T103" s="1"/>
      <c r="U103" s="1"/>
      <c r="V103" s="1"/>
      <c r="W103" s="1"/>
      <c r="X103" s="1"/>
      <c r="Y103" s="1"/>
      <c r="Z103" s="1"/>
    </row>
    <row r="104" ht="14.25" customHeight="1" outlineLevel="1">
      <c r="A104" s="1"/>
      <c r="B104" s="83" t="s">
        <v>17</v>
      </c>
      <c r="C104" s="69"/>
      <c r="D104" s="70" t="str">
        <f t="shared" ref="D104:R104" si="28">D62</f>
        <v/>
      </c>
      <c r="E104" s="70">
        <f t="shared" si="28"/>
        <v>-5.49</v>
      </c>
      <c r="F104" s="70">
        <f t="shared" si="28"/>
        <v>-0.095391</v>
      </c>
      <c r="G104" s="70">
        <f t="shared" si="28"/>
        <v>-0.0972200259</v>
      </c>
      <c r="H104" s="70">
        <f t="shared" si="28"/>
        <v>-0.09908853529</v>
      </c>
      <c r="I104" s="70">
        <f t="shared" si="28"/>
        <v>-0.1009974834</v>
      </c>
      <c r="J104" s="70">
        <f t="shared" si="28"/>
        <v>-0.1029478507</v>
      </c>
      <c r="K104" s="70">
        <f t="shared" si="28"/>
        <v>-0.1049406436</v>
      </c>
      <c r="L104" s="70">
        <f t="shared" si="28"/>
        <v>-0.1069768952</v>
      </c>
      <c r="M104" s="70">
        <f t="shared" si="28"/>
        <v>-0.1090576661</v>
      </c>
      <c r="N104" s="70">
        <f t="shared" si="28"/>
        <v>-0.1111840449</v>
      </c>
      <c r="O104" s="70">
        <f t="shared" si="28"/>
        <v>-0.1133571493</v>
      </c>
      <c r="P104" s="70">
        <f t="shared" si="28"/>
        <v>-0.1155781269</v>
      </c>
      <c r="Q104" s="70">
        <f t="shared" si="28"/>
        <v>-0.1178481557</v>
      </c>
      <c r="R104" s="70">
        <f t="shared" si="28"/>
        <v>-0.1201684453</v>
      </c>
      <c r="S104" s="70">
        <f>S62-SUM(E62:S62)</f>
        <v>6.884756022</v>
      </c>
      <c r="T104" s="1"/>
      <c r="U104" s="1"/>
      <c r="V104" s="1"/>
      <c r="W104" s="1"/>
      <c r="X104" s="1"/>
      <c r="Y104" s="1"/>
      <c r="Z104" s="1"/>
    </row>
    <row r="105" ht="14.25" customHeight="1" outlineLevel="1">
      <c r="A105" s="1"/>
      <c r="B105" s="83" t="s">
        <v>99</v>
      </c>
      <c r="C105" s="69"/>
      <c r="D105" s="70">
        <v>0.0</v>
      </c>
      <c r="E105" s="70">
        <v>0.0</v>
      </c>
      <c r="F105" s="70">
        <v>0.0</v>
      </c>
      <c r="G105" s="70">
        <v>0.0</v>
      </c>
      <c r="H105" s="70">
        <v>0.0</v>
      </c>
      <c r="I105" s="70">
        <v>0.0</v>
      </c>
      <c r="J105" s="70">
        <v>0.0</v>
      </c>
      <c r="K105" s="70">
        <v>0.0</v>
      </c>
      <c r="L105" s="70">
        <v>0.0</v>
      </c>
      <c r="M105" s="70">
        <v>0.0</v>
      </c>
      <c r="N105" s="70">
        <v>0.0</v>
      </c>
      <c r="O105" s="70">
        <v>0.0</v>
      </c>
      <c r="P105" s="70">
        <v>0.0</v>
      </c>
      <c r="Q105" s="70">
        <v>0.0</v>
      </c>
      <c r="R105" s="70">
        <v>0.0</v>
      </c>
      <c r="S105" s="70">
        <f>S72</f>
        <v>25</v>
      </c>
      <c r="T105" s="1"/>
      <c r="U105" s="1"/>
      <c r="V105" s="1"/>
      <c r="W105" s="1"/>
      <c r="X105" s="1"/>
      <c r="Y105" s="1"/>
      <c r="Z105" s="1"/>
    </row>
    <row r="106" ht="14.25" customHeight="1" outlineLevel="1">
      <c r="A106" s="1"/>
      <c r="B106" s="83" t="s">
        <v>100</v>
      </c>
      <c r="C106" s="87">
        <f>IFERROR(-E87*C36/12,"-")</f>
        <v>-14.54751555</v>
      </c>
      <c r="D106" s="51">
        <f t="shared" ref="D106:R106" si="29">IF(SUM(D101:D105)&lt;0,D108-SUM(D101:D105),0)</f>
        <v>0</v>
      </c>
      <c r="E106" s="51">
        <f t="shared" si="29"/>
        <v>0</v>
      </c>
      <c r="F106" s="51">
        <f t="shared" si="29"/>
        <v>0</v>
      </c>
      <c r="G106" s="51">
        <f t="shared" si="29"/>
        <v>0</v>
      </c>
      <c r="H106" s="51">
        <f t="shared" si="29"/>
        <v>0</v>
      </c>
      <c r="I106" s="51">
        <f t="shared" si="29"/>
        <v>0</v>
      </c>
      <c r="J106" s="51">
        <f t="shared" si="29"/>
        <v>0</v>
      </c>
      <c r="K106" s="51">
        <f t="shared" si="29"/>
        <v>0</v>
      </c>
      <c r="L106" s="51">
        <f t="shared" si="29"/>
        <v>0</v>
      </c>
      <c r="M106" s="51">
        <f t="shared" si="29"/>
        <v>0</v>
      </c>
      <c r="N106" s="51">
        <f t="shared" si="29"/>
        <v>0</v>
      </c>
      <c r="O106" s="51">
        <f t="shared" si="29"/>
        <v>0</v>
      </c>
      <c r="P106" s="51">
        <f t="shared" si="29"/>
        <v>0</v>
      </c>
      <c r="Q106" s="51">
        <f t="shared" si="29"/>
        <v>0</v>
      </c>
      <c r="R106" s="51">
        <f t="shared" si="29"/>
        <v>0</v>
      </c>
      <c r="S106" s="51">
        <f>-SUM(C106:R106)</f>
        <v>14.54751555</v>
      </c>
      <c r="T106" s="1"/>
      <c r="U106" s="1"/>
      <c r="V106" s="1"/>
      <c r="W106" s="1"/>
      <c r="X106" s="1"/>
      <c r="Y106" s="1"/>
      <c r="Z106" s="1"/>
    </row>
    <row r="107" ht="14.25" customHeight="1" outlineLevel="1">
      <c r="A107" s="1"/>
      <c r="B107" s="84" t="s">
        <v>101</v>
      </c>
      <c r="C107" s="88">
        <f>-C79+C106</f>
        <v>-89.54751555</v>
      </c>
      <c r="D107" s="76">
        <f t="shared" ref="D107:S107" si="30">SUM(D101:D106)</f>
        <v>0</v>
      </c>
      <c r="E107" s="76">
        <f t="shared" si="30"/>
        <v>13.82231889</v>
      </c>
      <c r="F107" s="76">
        <f t="shared" si="30"/>
        <v>19.53031516</v>
      </c>
      <c r="G107" s="76">
        <f t="shared" si="30"/>
        <v>19.82160416</v>
      </c>
      <c r="H107" s="76">
        <f t="shared" si="30"/>
        <v>20.08964124</v>
      </c>
      <c r="I107" s="76">
        <f t="shared" si="30"/>
        <v>20.33115968</v>
      </c>
      <c r="J107" s="76">
        <f t="shared" si="30"/>
        <v>20.54253609</v>
      </c>
      <c r="K107" s="76">
        <f t="shared" si="30"/>
        <v>20.71975268</v>
      </c>
      <c r="L107" s="76">
        <f t="shared" si="30"/>
        <v>20.85835553</v>
      </c>
      <c r="M107" s="76">
        <f t="shared" si="30"/>
        <v>20.9534086</v>
      </c>
      <c r="N107" s="76">
        <f t="shared" si="30"/>
        <v>20.99944277</v>
      </c>
      <c r="O107" s="76">
        <f t="shared" si="30"/>
        <v>50.0854307</v>
      </c>
      <c r="P107" s="76">
        <f t="shared" si="30"/>
        <v>50.7783448</v>
      </c>
      <c r="Q107" s="76">
        <f t="shared" si="30"/>
        <v>51.48223463</v>
      </c>
      <c r="R107" s="76">
        <f t="shared" si="30"/>
        <v>52.19729418</v>
      </c>
      <c r="S107" s="76">
        <f t="shared" si="30"/>
        <v>99.47853332</v>
      </c>
      <c r="T107" s="1"/>
      <c r="U107" s="1"/>
      <c r="V107" s="1"/>
      <c r="W107" s="1"/>
      <c r="X107" s="1"/>
      <c r="Y107" s="1"/>
      <c r="Z107" s="1"/>
    </row>
    <row r="108" ht="14.25" customHeight="1" outlineLevel="1">
      <c r="A108" s="1"/>
      <c r="B108" s="83" t="s">
        <v>102</v>
      </c>
      <c r="C108" s="69"/>
      <c r="D108" s="70" t="str">
        <f t="shared" ref="D108:S108" si="31">D87</f>
        <v/>
      </c>
      <c r="E108" s="70">
        <f t="shared" si="31"/>
        <v>29.09503111</v>
      </c>
      <c r="F108" s="70">
        <f t="shared" si="31"/>
        <v>29.09503111</v>
      </c>
      <c r="G108" s="70">
        <f t="shared" si="31"/>
        <v>29.09503111</v>
      </c>
      <c r="H108" s="70">
        <f t="shared" si="31"/>
        <v>29.09503111</v>
      </c>
      <c r="I108" s="70">
        <f t="shared" si="31"/>
        <v>29.09503111</v>
      </c>
      <c r="J108" s="70">
        <f t="shared" si="31"/>
        <v>29.09503111</v>
      </c>
      <c r="K108" s="70">
        <f t="shared" si="31"/>
        <v>29.09503111</v>
      </c>
      <c r="L108" s="70">
        <f t="shared" si="31"/>
        <v>29.09503111</v>
      </c>
      <c r="M108" s="70">
        <f t="shared" si="31"/>
        <v>29.09503111</v>
      </c>
      <c r="N108" s="70">
        <f t="shared" si="31"/>
        <v>29.09503111</v>
      </c>
      <c r="O108" s="70">
        <f t="shared" si="31"/>
        <v>0</v>
      </c>
      <c r="P108" s="70">
        <f t="shared" si="31"/>
        <v>0</v>
      </c>
      <c r="Q108" s="70">
        <f t="shared" si="31"/>
        <v>0</v>
      </c>
      <c r="R108" s="70">
        <f t="shared" si="31"/>
        <v>0</v>
      </c>
      <c r="S108" s="70" t="str">
        <f t="shared" si="31"/>
        <v/>
      </c>
      <c r="T108" s="1"/>
      <c r="U108" s="1"/>
      <c r="V108" s="1"/>
      <c r="W108" s="1"/>
      <c r="X108" s="1"/>
      <c r="Y108" s="1"/>
      <c r="Z108" s="1"/>
    </row>
    <row r="109" ht="14.25" customHeight="1" outlineLevel="1">
      <c r="A109" s="1"/>
      <c r="B109" s="84" t="s">
        <v>103</v>
      </c>
      <c r="C109" s="85"/>
      <c r="D109" s="76" t="str">
        <f t="shared" ref="D109:S109" si="32">IFERROR(D96/D108,"-")</f>
        <v>-</v>
      </c>
      <c r="E109" s="76">
        <f t="shared" si="32"/>
        <v>1.821953714</v>
      </c>
      <c r="F109" s="76">
        <f t="shared" si="32"/>
        <v>1.849210973</v>
      </c>
      <c r="G109" s="76">
        <f t="shared" si="32"/>
        <v>1.876893405</v>
      </c>
      <c r="H109" s="76">
        <f t="shared" si="32"/>
        <v>1.90500831</v>
      </c>
      <c r="I109" s="76">
        <f t="shared" si="32"/>
        <v>1.933563131</v>
      </c>
      <c r="J109" s="76">
        <f t="shared" si="32"/>
        <v>1.962565464</v>
      </c>
      <c r="K109" s="76">
        <f t="shared" si="32"/>
        <v>1.992023059</v>
      </c>
      <c r="L109" s="76">
        <f t="shared" si="32"/>
        <v>2.021943826</v>
      </c>
      <c r="M109" s="76">
        <f t="shared" si="32"/>
        <v>2.052335834</v>
      </c>
      <c r="N109" s="76">
        <f t="shared" si="32"/>
        <v>2.083207321</v>
      </c>
      <c r="O109" s="76" t="str">
        <f t="shared" si="32"/>
        <v>-</v>
      </c>
      <c r="P109" s="76" t="str">
        <f t="shared" si="32"/>
        <v>-</v>
      </c>
      <c r="Q109" s="76" t="str">
        <f t="shared" si="32"/>
        <v>-</v>
      </c>
      <c r="R109" s="76" t="str">
        <f t="shared" si="32"/>
        <v>-</v>
      </c>
      <c r="S109" s="76" t="str">
        <f t="shared" si="32"/>
        <v>-</v>
      </c>
      <c r="T109" s="1"/>
      <c r="U109" s="1"/>
      <c r="V109" s="1"/>
      <c r="W109" s="1"/>
      <c r="X109" s="1"/>
      <c r="Y109" s="1"/>
      <c r="Z109" s="1"/>
    </row>
    <row r="110" ht="14.25" customHeight="1">
      <c r="A110" s="1" t="s">
        <v>24</v>
      </c>
      <c r="B110" s="89" t="s">
        <v>104</v>
      </c>
      <c r="C110" s="90">
        <f>IRR(C107:S107)</f>
        <v>0.1995408878</v>
      </c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92" t="s">
        <v>105</v>
      </c>
      <c r="C111" s="93">
        <f t="array" ref="C111">NPV($C$37,D107:S107)+C107</f>
        <v>68.42580853</v>
      </c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9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96" t="s">
        <v>106</v>
      </c>
      <c r="F113" s="4"/>
      <c r="G113" s="1"/>
      <c r="H113" s="96" t="s">
        <v>107</v>
      </c>
      <c r="I113" s="4"/>
      <c r="J113" s="1"/>
      <c r="K113" s="96" t="s">
        <v>108</v>
      </c>
      <c r="L113" s="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96" t="s">
        <v>109</v>
      </c>
      <c r="F114" s="4"/>
      <c r="G114" s="1"/>
      <c r="H114" s="96" t="s">
        <v>110</v>
      </c>
      <c r="I114" s="4"/>
      <c r="J114" s="1"/>
      <c r="K114" s="96" t="s">
        <v>111</v>
      </c>
      <c r="L114" s="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7.5" customHeight="1">
      <c r="A116" s="1"/>
      <c r="B116" s="1"/>
      <c r="C116" s="1"/>
      <c r="D116" s="1"/>
      <c r="E116" s="1"/>
      <c r="F116" s="97">
        <f>C110</f>
        <v>0.1995408878</v>
      </c>
      <c r="G116" s="1"/>
      <c r="H116" s="1"/>
      <c r="I116" s="98">
        <f>C110</f>
        <v>0.1995408878</v>
      </c>
      <c r="J116" s="1"/>
      <c r="K116" s="1"/>
      <c r="L116" s="98">
        <f>C110</f>
        <v>0.1995408878</v>
      </c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99">
        <v>0.7</v>
      </c>
      <c r="F117" s="100">
        <v>0.15417959428666883</v>
      </c>
      <c r="G117" s="1"/>
      <c r="H117" s="101">
        <v>450.0</v>
      </c>
      <c r="I117" s="102">
        <v>0.18358231566561733</v>
      </c>
      <c r="J117" s="1"/>
      <c r="K117" s="101">
        <v>200.0</v>
      </c>
      <c r="L117" s="103">
        <v>0.1938387891140647</v>
      </c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04">
        <v>0.75</v>
      </c>
      <c r="F118" s="105">
        <v>0.16955079854302535</v>
      </c>
      <c r="G118" s="1"/>
      <c r="H118" s="106">
        <v>540.0</v>
      </c>
      <c r="I118" s="107">
        <v>0.1932024306406368</v>
      </c>
      <c r="J118" s="1"/>
      <c r="K118" s="106">
        <v>225.0</v>
      </c>
      <c r="L118" s="108">
        <v>0.19669827318775157</v>
      </c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 t="s">
        <v>24</v>
      </c>
      <c r="B119" s="109" t="s">
        <v>22</v>
      </c>
      <c r="C119" s="4"/>
      <c r="D119" s="1"/>
      <c r="E119" s="110">
        <v>0.85</v>
      </c>
      <c r="F119" s="111">
        <v>0.19954088780910673</v>
      </c>
      <c r="G119" s="1"/>
      <c r="H119" s="112">
        <v>600.0</v>
      </c>
      <c r="I119" s="113">
        <v>0.19954088780910673</v>
      </c>
      <c r="J119" s="1"/>
      <c r="K119" s="112">
        <v>250.0</v>
      </c>
      <c r="L119" s="114">
        <v>0.19954088780910673</v>
      </c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99">
        <v>0.9</v>
      </c>
      <c r="F120" s="100">
        <v>0.21417610396353903</v>
      </c>
      <c r="G120" s="1"/>
      <c r="H120" s="115">
        <v>660.0</v>
      </c>
      <c r="I120" s="102">
        <v>0.20582132368322847</v>
      </c>
      <c r="J120" s="1"/>
      <c r="K120" s="115">
        <v>275.0</v>
      </c>
      <c r="L120" s="103">
        <v>0.20236716435716695</v>
      </c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99">
        <v>0.95</v>
      </c>
      <c r="F121" s="100">
        <v>0.22858136340753998</v>
      </c>
      <c r="G121" s="1"/>
      <c r="H121" s="115">
        <v>750.0</v>
      </c>
      <c r="I121" s="102">
        <v>0.21513660693063463</v>
      </c>
      <c r="J121" s="1"/>
      <c r="K121" s="115">
        <v>300.0</v>
      </c>
      <c r="L121" s="103">
        <v>0.2051776080733716</v>
      </c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E113:F113"/>
    <mergeCell ref="H113:I113"/>
    <mergeCell ref="K113:L113"/>
    <mergeCell ref="E114:F114"/>
    <mergeCell ref="H114:I114"/>
    <mergeCell ref="K114:L114"/>
    <mergeCell ref="B119:C119"/>
  </mergeCells>
  <conditionalFormatting sqref="D109:S109">
    <cfRule type="cellIs" dxfId="0" priority="1" operator="lessThan">
      <formula>1.5</formula>
    </cfRule>
  </conditionalFormatting>
  <printOptions/>
  <pageMargins bottom="0.75" footer="0.0" header="0.0" left="1.47" right="0.7" top="0.83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29"/>
    <col customWidth="1" min="2" max="2" width="18.57"/>
    <col customWidth="1" min="3" max="3" width="12.29"/>
    <col customWidth="1" min="4" max="4" width="55.57"/>
    <col customWidth="1" min="5" max="14" width="8.86"/>
    <col customWidth="1" min="15" max="26" width="8.71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116" t="s">
        <v>112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117" t="s">
        <v>113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118" t="s">
        <v>114</v>
      </c>
      <c r="C6" s="119" t="s">
        <v>115</v>
      </c>
      <c r="D6" s="120" t="s">
        <v>116</v>
      </c>
      <c r="E6" s="121" t="s">
        <v>117</v>
      </c>
      <c r="F6" s="122"/>
      <c r="G6" s="122"/>
      <c r="H6" s="122"/>
      <c r="I6" s="122"/>
      <c r="J6" s="122"/>
      <c r="K6" s="122"/>
      <c r="L6" s="122"/>
      <c r="M6" s="122"/>
      <c r="N6" s="12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6.5" customHeight="1">
      <c r="A7" s="1"/>
      <c r="B7" s="124" t="s">
        <v>118</v>
      </c>
      <c r="C7" s="125">
        <f>Installed_Capacity</f>
        <v>10</v>
      </c>
      <c r="D7" s="124" t="s">
        <v>119</v>
      </c>
      <c r="E7" s="126" t="s">
        <v>120</v>
      </c>
      <c r="F7" s="127"/>
      <c r="G7" s="127"/>
      <c r="H7" s="127"/>
      <c r="I7" s="127"/>
      <c r="J7" s="127"/>
      <c r="K7" s="127"/>
      <c r="L7" s="127"/>
      <c r="M7" s="127"/>
      <c r="N7" s="128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129" t="s">
        <v>121</v>
      </c>
      <c r="C8" s="130">
        <f>'Project Finance Model'!D70+'Project Finance Model'!C77</f>
        <v>268.375</v>
      </c>
      <c r="D8" s="131" t="s">
        <v>122</v>
      </c>
      <c r="E8" s="132" t="s">
        <v>123</v>
      </c>
      <c r="F8" s="133"/>
      <c r="G8" s="133"/>
      <c r="H8" s="133"/>
      <c r="I8" s="133"/>
      <c r="J8" s="133"/>
      <c r="K8" s="133"/>
      <c r="L8" s="133"/>
      <c r="M8" s="133"/>
      <c r="N8" s="1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135"/>
      <c r="C9" s="135"/>
      <c r="D9" s="135"/>
      <c r="E9" s="136"/>
      <c r="F9" s="127"/>
      <c r="G9" s="127"/>
      <c r="H9" s="127"/>
      <c r="I9" s="127"/>
      <c r="J9" s="127"/>
      <c r="K9" s="127"/>
      <c r="L9" s="127"/>
      <c r="M9" s="127"/>
      <c r="N9" s="128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7.25" customHeight="1">
      <c r="A10" s="1"/>
      <c r="B10" s="137" t="s">
        <v>124</v>
      </c>
      <c r="C10" s="138" t="s">
        <v>125</v>
      </c>
      <c r="D10" s="137" t="s">
        <v>126</v>
      </c>
      <c r="E10" s="139" t="s">
        <v>127</v>
      </c>
      <c r="F10" s="140"/>
      <c r="G10" s="140"/>
      <c r="H10" s="140"/>
      <c r="I10" s="140"/>
      <c r="J10" s="140"/>
      <c r="K10" s="140"/>
      <c r="L10" s="140"/>
      <c r="M10" s="140"/>
      <c r="N10" s="14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1"/>
      <c r="C11" s="14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117" t="s">
        <v>128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1"/>
      <c r="C13" s="14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143" t="s">
        <v>114</v>
      </c>
      <c r="C14" s="144" t="s">
        <v>115</v>
      </c>
      <c r="D14" s="145" t="s">
        <v>116</v>
      </c>
      <c r="E14" s="146" t="s">
        <v>129</v>
      </c>
      <c r="F14" s="147"/>
      <c r="G14" s="147"/>
      <c r="H14" s="147"/>
      <c r="I14" s="147"/>
      <c r="J14" s="147"/>
      <c r="K14" s="147"/>
      <c r="L14" s="147"/>
      <c r="M14" s="147"/>
      <c r="N14" s="148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6.5" customHeight="1">
      <c r="A15" s="1"/>
      <c r="B15" s="137" t="s">
        <v>104</v>
      </c>
      <c r="C15" s="149">
        <f>'Project Finance Model'!C110</f>
        <v>0.1995408878</v>
      </c>
      <c r="D15" s="137" t="s">
        <v>130</v>
      </c>
      <c r="E15" s="139" t="s">
        <v>131</v>
      </c>
      <c r="F15" s="140"/>
      <c r="G15" s="140"/>
      <c r="H15" s="140"/>
      <c r="I15" s="140"/>
      <c r="J15" s="140"/>
      <c r="K15" s="140"/>
      <c r="L15" s="140"/>
      <c r="M15" s="140"/>
      <c r="N15" s="14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6.5" customHeight="1">
      <c r="A16" s="1"/>
      <c r="B16" s="137" t="s">
        <v>105</v>
      </c>
      <c r="C16" s="150">
        <f>'Project Finance Model'!C111</f>
        <v>68.42580853</v>
      </c>
      <c r="D16" s="137" t="s">
        <v>132</v>
      </c>
      <c r="E16" s="139" t="s">
        <v>133</v>
      </c>
      <c r="F16" s="140"/>
      <c r="G16" s="140"/>
      <c r="H16" s="140"/>
      <c r="I16" s="140"/>
      <c r="J16" s="140"/>
      <c r="K16" s="140"/>
      <c r="L16" s="140"/>
      <c r="M16" s="140"/>
      <c r="N16" s="14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6.5" customHeight="1">
      <c r="A17" s="1"/>
      <c r="B17" s="137" t="s">
        <v>134</v>
      </c>
      <c r="C17" s="151" t="s">
        <v>135</v>
      </c>
      <c r="D17" s="137" t="s">
        <v>136</v>
      </c>
      <c r="E17" s="139" t="s">
        <v>137</v>
      </c>
      <c r="F17" s="140"/>
      <c r="G17" s="140"/>
      <c r="H17" s="140"/>
      <c r="I17" s="140"/>
      <c r="J17" s="140"/>
      <c r="K17" s="140"/>
      <c r="L17" s="140"/>
      <c r="M17" s="140"/>
      <c r="N17" s="14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1"/>
      <c r="C18" s="14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117" t="s">
        <v>138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1"/>
      <c r="C20" s="14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143" t="s">
        <v>114</v>
      </c>
      <c r="C21" s="144" t="s">
        <v>115</v>
      </c>
      <c r="D21" s="145" t="s">
        <v>116</v>
      </c>
      <c r="E21" s="146" t="s">
        <v>129</v>
      </c>
      <c r="F21" s="147"/>
      <c r="G21" s="147"/>
      <c r="H21" s="147"/>
      <c r="I21" s="147"/>
      <c r="J21" s="147"/>
      <c r="K21" s="147"/>
      <c r="L21" s="147"/>
      <c r="M21" s="147"/>
      <c r="N21" s="148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6.5" customHeight="1">
      <c r="A22" s="1"/>
      <c r="B22" s="137" t="s">
        <v>139</v>
      </c>
      <c r="C22" s="152">
        <f>AVERAGE('Project Finance Model'!E109:N109)</f>
        <v>1.949870504</v>
      </c>
      <c r="D22" s="137" t="s">
        <v>140</v>
      </c>
      <c r="E22" s="139" t="s">
        <v>141</v>
      </c>
      <c r="F22" s="140"/>
      <c r="G22" s="140"/>
      <c r="H22" s="140"/>
      <c r="I22" s="140"/>
      <c r="J22" s="140"/>
      <c r="K22" s="140"/>
      <c r="L22" s="140"/>
      <c r="M22" s="140"/>
      <c r="N22" s="14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6.5" customHeight="1">
      <c r="A23" s="1"/>
      <c r="B23" s="137" t="s">
        <v>100</v>
      </c>
      <c r="C23" s="153">
        <f>'Project Finance Model'!E87*'Project Finance Model'!C36/12</f>
        <v>14.54751555</v>
      </c>
      <c r="D23" s="137" t="s">
        <v>142</v>
      </c>
      <c r="E23" s="139" t="s">
        <v>143</v>
      </c>
      <c r="F23" s="140"/>
      <c r="G23" s="140"/>
      <c r="H23" s="140"/>
      <c r="I23" s="140"/>
      <c r="J23" s="140"/>
      <c r="K23" s="140"/>
      <c r="L23" s="140"/>
      <c r="M23" s="140"/>
      <c r="N23" s="14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6.5" customHeight="1">
      <c r="A24" s="1"/>
      <c r="B24" s="129" t="s">
        <v>144</v>
      </c>
      <c r="C24" s="154">
        <f>'Project Finance Model'!C27</f>
        <v>10</v>
      </c>
      <c r="D24" s="155" t="s">
        <v>145</v>
      </c>
      <c r="E24" s="132" t="s">
        <v>146</v>
      </c>
      <c r="F24" s="133"/>
      <c r="G24" s="133"/>
      <c r="H24" s="133"/>
      <c r="I24" s="133"/>
      <c r="J24" s="133"/>
      <c r="K24" s="133"/>
      <c r="L24" s="133"/>
      <c r="M24" s="133"/>
      <c r="N24" s="13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6.5" customHeight="1">
      <c r="A25" s="1"/>
      <c r="B25" s="135"/>
      <c r="C25" s="135"/>
      <c r="D25" s="135"/>
      <c r="E25" s="136"/>
      <c r="F25" s="127"/>
      <c r="G25" s="127"/>
      <c r="H25" s="127"/>
      <c r="I25" s="127"/>
      <c r="J25" s="127"/>
      <c r="K25" s="127"/>
      <c r="L25" s="127"/>
      <c r="M25" s="127"/>
      <c r="N25" s="128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6.5" customHeight="1">
      <c r="A26" s="1"/>
      <c r="B26" s="156"/>
      <c r="C26" s="157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17" t="s">
        <v>147</v>
      </c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59" t="s">
        <v>114</v>
      </c>
      <c r="C29" s="160"/>
      <c r="D29" s="145" t="s">
        <v>148</v>
      </c>
      <c r="E29" s="146" t="s">
        <v>149</v>
      </c>
      <c r="F29" s="147"/>
      <c r="G29" s="147"/>
      <c r="H29" s="147"/>
      <c r="I29" s="147"/>
      <c r="J29" s="147"/>
      <c r="K29" s="147"/>
      <c r="L29" s="147"/>
      <c r="M29" s="147"/>
      <c r="N29" s="148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6.5" customHeight="1">
      <c r="A30" s="1"/>
      <c r="B30" s="161" t="s">
        <v>150</v>
      </c>
      <c r="C30" s="134"/>
      <c r="D30" s="129" t="s">
        <v>151</v>
      </c>
      <c r="E30" s="132" t="s">
        <v>152</v>
      </c>
      <c r="F30" s="133"/>
      <c r="G30" s="133"/>
      <c r="H30" s="133"/>
      <c r="I30" s="133"/>
      <c r="J30" s="133"/>
      <c r="K30" s="133"/>
      <c r="L30" s="133"/>
      <c r="M30" s="133"/>
      <c r="N30" s="13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6.5" customHeight="1">
      <c r="A31" s="1"/>
      <c r="B31" s="136"/>
      <c r="C31" s="128"/>
      <c r="D31" s="135"/>
      <c r="E31" s="136"/>
      <c r="F31" s="127"/>
      <c r="G31" s="127"/>
      <c r="H31" s="127"/>
      <c r="I31" s="127"/>
      <c r="J31" s="127"/>
      <c r="K31" s="127"/>
      <c r="L31" s="127"/>
      <c r="M31" s="127"/>
      <c r="N31" s="128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6.5" customHeight="1">
      <c r="A32" s="1"/>
      <c r="B32" s="161" t="s">
        <v>153</v>
      </c>
      <c r="C32" s="134"/>
      <c r="D32" s="129" t="s">
        <v>154</v>
      </c>
      <c r="E32" s="132" t="s">
        <v>155</v>
      </c>
      <c r="F32" s="133"/>
      <c r="G32" s="133"/>
      <c r="H32" s="133"/>
      <c r="I32" s="133"/>
      <c r="J32" s="133"/>
      <c r="K32" s="133"/>
      <c r="L32" s="133"/>
      <c r="M32" s="133"/>
      <c r="N32" s="13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6.5" customHeight="1">
      <c r="A33" s="1"/>
      <c r="B33" s="136"/>
      <c r="C33" s="128"/>
      <c r="D33" s="135"/>
      <c r="E33" s="136"/>
      <c r="F33" s="127"/>
      <c r="G33" s="127"/>
      <c r="H33" s="127"/>
      <c r="I33" s="127"/>
      <c r="J33" s="127"/>
      <c r="K33" s="127"/>
      <c r="L33" s="127"/>
      <c r="M33" s="127"/>
      <c r="N33" s="128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6.5" customHeight="1">
      <c r="A34" s="1"/>
      <c r="B34" s="139" t="s">
        <v>156</v>
      </c>
      <c r="C34" s="141"/>
      <c r="D34" s="162" t="s">
        <v>157</v>
      </c>
      <c r="E34" s="139" t="s">
        <v>158</v>
      </c>
      <c r="F34" s="140"/>
      <c r="G34" s="140"/>
      <c r="H34" s="140"/>
      <c r="I34" s="140"/>
      <c r="J34" s="140"/>
      <c r="K34" s="140"/>
      <c r="L34" s="140"/>
      <c r="M34" s="140"/>
      <c r="N34" s="14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6.5" customHeight="1">
      <c r="A35" s="1"/>
      <c r="B35" s="161" t="s">
        <v>159</v>
      </c>
      <c r="C35" s="134"/>
      <c r="D35" s="129" t="s">
        <v>160</v>
      </c>
      <c r="E35" s="132" t="s">
        <v>161</v>
      </c>
      <c r="F35" s="133"/>
      <c r="G35" s="133"/>
      <c r="H35" s="133"/>
      <c r="I35" s="133"/>
      <c r="J35" s="133"/>
      <c r="K35" s="133"/>
      <c r="L35" s="133"/>
      <c r="M35" s="133"/>
      <c r="N35" s="13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6.5" customHeight="1">
      <c r="A36" s="1"/>
      <c r="B36" s="136"/>
      <c r="C36" s="128"/>
      <c r="D36" s="135"/>
      <c r="E36" s="136"/>
      <c r="F36" s="127"/>
      <c r="G36" s="127"/>
      <c r="H36" s="127"/>
      <c r="I36" s="127"/>
      <c r="J36" s="127"/>
      <c r="K36" s="127"/>
      <c r="L36" s="127"/>
      <c r="M36" s="127"/>
      <c r="N36" s="12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6.5" customHeight="1">
      <c r="A37" s="1"/>
      <c r="B37" s="161" t="s">
        <v>162</v>
      </c>
      <c r="C37" s="134"/>
      <c r="D37" s="129" t="s">
        <v>163</v>
      </c>
      <c r="E37" s="132" t="s">
        <v>164</v>
      </c>
      <c r="F37" s="133"/>
      <c r="G37" s="133"/>
      <c r="H37" s="133"/>
      <c r="I37" s="133"/>
      <c r="J37" s="133"/>
      <c r="K37" s="133"/>
      <c r="L37" s="133"/>
      <c r="M37" s="133"/>
      <c r="N37" s="13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6.5" customHeight="1">
      <c r="A38" s="1"/>
      <c r="B38" s="136"/>
      <c r="C38" s="128"/>
      <c r="D38" s="135"/>
      <c r="E38" s="136"/>
      <c r="F38" s="127"/>
      <c r="G38" s="127"/>
      <c r="H38" s="127"/>
      <c r="I38" s="127"/>
      <c r="J38" s="127"/>
      <c r="K38" s="127"/>
      <c r="L38" s="127"/>
      <c r="M38" s="127"/>
      <c r="N38" s="12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5">
    <mergeCell ref="B2:N2"/>
    <mergeCell ref="E6:N6"/>
    <mergeCell ref="E7:N7"/>
    <mergeCell ref="B8:B9"/>
    <mergeCell ref="C8:C9"/>
    <mergeCell ref="D8:D9"/>
    <mergeCell ref="E8:N9"/>
    <mergeCell ref="E10:N10"/>
    <mergeCell ref="E14:N14"/>
    <mergeCell ref="E15:N15"/>
    <mergeCell ref="E16:N16"/>
    <mergeCell ref="E17:N17"/>
    <mergeCell ref="E21:N21"/>
    <mergeCell ref="E22:N22"/>
    <mergeCell ref="E23:N23"/>
    <mergeCell ref="B24:B25"/>
    <mergeCell ref="C24:C25"/>
    <mergeCell ref="D24:D25"/>
    <mergeCell ref="E24:N25"/>
    <mergeCell ref="B29:C29"/>
    <mergeCell ref="E29:N29"/>
    <mergeCell ref="B34:C34"/>
    <mergeCell ref="B35:C36"/>
    <mergeCell ref="D35:D36"/>
    <mergeCell ref="B37:C38"/>
    <mergeCell ref="D37:D38"/>
    <mergeCell ref="E35:N36"/>
    <mergeCell ref="E37:N38"/>
    <mergeCell ref="B30:C31"/>
    <mergeCell ref="D30:D31"/>
    <mergeCell ref="E30:N31"/>
    <mergeCell ref="B32:C33"/>
    <mergeCell ref="D32:D33"/>
    <mergeCell ref="E32:N33"/>
    <mergeCell ref="E34:N3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2026-02-03T13:59:00Z</dcterms:created>
  <dc:creator>Anvay Gulwe</dc:creator>
</cp:coreProperties>
</file>