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D:\Excel Portfolio\"/>
    </mc:Choice>
  </mc:AlternateContent>
  <xr:revisionPtr revIDLastSave="0" documentId="13_ncr:1_{09051FC1-138D-4BB0-954E-FCC61C04EC08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Data Sheet" sheetId="6" r:id="rId1"/>
    <sheet name="Financial Statement" sheetId="7" r:id="rId2"/>
    <sheet name="Forecast" sheetId="9" r:id="rId3"/>
    <sheet name="Ratio Analysis" sheetId="8" r:id="rId4"/>
  </sheets>
  <definedNames>
    <definedName name="UPDATE">'Data Sheet'!$E$1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16" i="9" l="1"/>
  <c r="N25" i="9"/>
  <c r="D19" i="9"/>
  <c r="D18" i="9"/>
  <c r="N17" i="9"/>
  <c r="N18" i="9"/>
  <c r="N19" i="9"/>
  <c r="N20" i="9"/>
  <c r="N21" i="9"/>
  <c r="I17" i="9"/>
  <c r="I18" i="9"/>
  <c r="I19" i="9"/>
  <c r="I20" i="9"/>
  <c r="I21" i="9"/>
  <c r="D16" i="9"/>
  <c r="I16" i="9"/>
  <c r="D17" i="9"/>
  <c r="D20" i="9"/>
  <c r="D21" i="9"/>
  <c r="L21" i="9"/>
  <c r="M21" i="9"/>
  <c r="G21" i="9"/>
  <c r="H21" i="9"/>
  <c r="B21" i="9"/>
  <c r="C21" i="9"/>
  <c r="M6" i="9" a="1"/>
  <c r="M6" i="9" s="1"/>
  <c r="M7" i="9" s="1"/>
  <c r="M8" i="9" s="1"/>
  <c r="M9" i="9" s="1"/>
  <c r="M10" i="9" s="1"/>
  <c r="M11" i="9" s="1"/>
  <c r="M12" i="9" s="1"/>
  <c r="M13" i="9" s="1"/>
  <c r="M14" i="9" s="1"/>
  <c r="M15" i="9" s="1"/>
  <c r="H6" i="9" a="1"/>
  <c r="H6" i="9" s="1"/>
  <c r="H7" i="9" s="1"/>
  <c r="H8" i="9" s="1"/>
  <c r="H9" i="9" s="1"/>
  <c r="H10" i="9" s="1"/>
  <c r="H11" i="9" s="1"/>
  <c r="H12" i="9" s="1"/>
  <c r="H13" i="9" s="1"/>
  <c r="H14" i="9" s="1"/>
  <c r="H15" i="9" s="1"/>
  <c r="C11" i="7"/>
  <c r="D11" i="7"/>
  <c r="E11" i="7"/>
  <c r="F11" i="7"/>
  <c r="G11" i="7"/>
  <c r="H11" i="7"/>
  <c r="I11" i="7"/>
  <c r="J11" i="7"/>
  <c r="K11" i="7"/>
  <c r="L11" i="7"/>
  <c r="M11" i="7"/>
  <c r="E8" i="7"/>
  <c r="F8" i="7"/>
  <c r="G8" i="7"/>
  <c r="H8" i="7"/>
  <c r="I8" i="7"/>
  <c r="J8" i="7"/>
  <c r="K8" i="7"/>
  <c r="L8" i="7"/>
  <c r="M8" i="7"/>
  <c r="M17" i="9"/>
  <c r="M18" i="9" s="1"/>
  <c r="M19" i="9" s="1"/>
  <c r="M20" i="9" s="1"/>
  <c r="L7" i="9"/>
  <c r="L8" i="9" s="1"/>
  <c r="L9" i="9" s="1"/>
  <c r="L10" i="9" s="1"/>
  <c r="L11" i="9" s="1"/>
  <c r="L12" i="9" s="1"/>
  <c r="L13" i="9" s="1"/>
  <c r="L14" i="9" s="1"/>
  <c r="L15" i="9" s="1"/>
  <c r="C6" i="9" a="1"/>
  <c r="C6" i="9" s="1"/>
  <c r="C7" i="9" s="1"/>
  <c r="C8" i="9" s="1"/>
  <c r="C9" i="9" s="1"/>
  <c r="C10" i="9" s="1"/>
  <c r="C11" i="9" s="1"/>
  <c r="C12" i="9" s="1"/>
  <c r="C13" i="9" s="1"/>
  <c r="C14" i="9" s="1"/>
  <c r="C15" i="9" s="1"/>
  <c r="H17" i="9"/>
  <c r="H18" i="9" s="1"/>
  <c r="H19" i="9" s="1"/>
  <c r="H20" i="9" s="1"/>
  <c r="G7" i="9"/>
  <c r="G8" i="9" s="1"/>
  <c r="G9" i="9" s="1"/>
  <c r="G10" i="9" s="1"/>
  <c r="G11" i="9" s="1"/>
  <c r="G12" i="9" s="1"/>
  <c r="G13" i="9" s="1"/>
  <c r="G14" i="9" s="1"/>
  <c r="G15" i="9" s="1"/>
  <c r="C17" i="9"/>
  <c r="C18" i="9" s="1"/>
  <c r="C19" i="9" s="1"/>
  <c r="C20" i="9" s="1"/>
  <c r="B7" i="9"/>
  <c r="B8" i="9" s="1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D34" i="8"/>
  <c r="E34" i="8"/>
  <c r="F34" i="8"/>
  <c r="G34" i="8"/>
  <c r="H34" i="8"/>
  <c r="I34" i="8"/>
  <c r="J34" i="8"/>
  <c r="K34" i="8"/>
  <c r="K37" i="8" s="1"/>
  <c r="L34" i="8"/>
  <c r="D35" i="8"/>
  <c r="E35" i="8"/>
  <c r="F35" i="8"/>
  <c r="G35" i="8"/>
  <c r="H35" i="8"/>
  <c r="I35" i="8"/>
  <c r="I37" i="8" s="1"/>
  <c r="J35" i="8"/>
  <c r="J37" i="8" s="1"/>
  <c r="K35" i="8"/>
  <c r="L35" i="8"/>
  <c r="D36" i="8"/>
  <c r="E36" i="8"/>
  <c r="F36" i="8"/>
  <c r="G36" i="8"/>
  <c r="H36" i="8"/>
  <c r="I36" i="8"/>
  <c r="J36" i="8"/>
  <c r="K36" i="8"/>
  <c r="L36" i="8"/>
  <c r="D37" i="8"/>
  <c r="E37" i="8"/>
  <c r="F37" i="8"/>
  <c r="G37" i="8"/>
  <c r="H37" i="8"/>
  <c r="L37" i="8"/>
  <c r="C37" i="8"/>
  <c r="C36" i="8"/>
  <c r="C35" i="8"/>
  <c r="C34" i="8"/>
  <c r="L32" i="8"/>
  <c r="K32" i="8"/>
  <c r="J32" i="8"/>
  <c r="I32" i="8"/>
  <c r="H32" i="8"/>
  <c r="G32" i="8"/>
  <c r="F32" i="8"/>
  <c r="E32" i="8"/>
  <c r="D32" i="8"/>
  <c r="C32" i="8"/>
  <c r="L31" i="8"/>
  <c r="K31" i="8"/>
  <c r="J31" i="8"/>
  <c r="I31" i="8"/>
  <c r="H31" i="8"/>
  <c r="G31" i="8"/>
  <c r="F31" i="8"/>
  <c r="E31" i="8"/>
  <c r="D31" i="8"/>
  <c r="C31" i="8"/>
  <c r="L30" i="8"/>
  <c r="K30" i="8"/>
  <c r="J30" i="8"/>
  <c r="I30" i="8"/>
  <c r="H30" i="8"/>
  <c r="G30" i="8"/>
  <c r="F30" i="8"/>
  <c r="E30" i="8"/>
  <c r="D30" i="8"/>
  <c r="C30" i="8"/>
  <c r="L29" i="8"/>
  <c r="K29" i="8"/>
  <c r="J29" i="8"/>
  <c r="I29" i="8"/>
  <c r="H29" i="8"/>
  <c r="G29" i="8"/>
  <c r="F29" i="8"/>
  <c r="E29" i="8"/>
  <c r="D29" i="8"/>
  <c r="C29" i="8"/>
  <c r="L28" i="8"/>
  <c r="K28" i="8"/>
  <c r="J28" i="8"/>
  <c r="I28" i="8"/>
  <c r="H28" i="8"/>
  <c r="G28" i="8"/>
  <c r="F28" i="8"/>
  <c r="E28" i="8"/>
  <c r="D28" i="8"/>
  <c r="C28" i="8"/>
  <c r="D27" i="8"/>
  <c r="E27" i="8"/>
  <c r="F27" i="8"/>
  <c r="G27" i="8"/>
  <c r="H27" i="8"/>
  <c r="I27" i="8"/>
  <c r="J27" i="8"/>
  <c r="K27" i="8"/>
  <c r="L27" i="8"/>
  <c r="C27" i="8"/>
  <c r="D25" i="8"/>
  <c r="E25" i="8"/>
  <c r="F25" i="8"/>
  <c r="G25" i="8"/>
  <c r="H25" i="8"/>
  <c r="I25" i="8"/>
  <c r="J25" i="8"/>
  <c r="K25" i="8"/>
  <c r="L25" i="8"/>
  <c r="C25" i="8"/>
  <c r="L23" i="8"/>
  <c r="K23" i="8"/>
  <c r="J23" i="8"/>
  <c r="I23" i="8"/>
  <c r="H23" i="8"/>
  <c r="G23" i="8"/>
  <c r="F23" i="8"/>
  <c r="E23" i="8"/>
  <c r="D23" i="8"/>
  <c r="C23" i="8"/>
  <c r="L21" i="8"/>
  <c r="K21" i="8"/>
  <c r="J21" i="8"/>
  <c r="I21" i="8"/>
  <c r="H21" i="8"/>
  <c r="G21" i="8"/>
  <c r="F21" i="8"/>
  <c r="E21" i="8"/>
  <c r="D21" i="8"/>
  <c r="C21" i="8"/>
  <c r="E8" i="9" l="1"/>
  <c r="E12" i="9"/>
  <c r="J9" i="9"/>
  <c r="E13" i="9"/>
  <c r="E14" i="9"/>
  <c r="E9" i="9"/>
  <c r="O9" i="9"/>
  <c r="O7" i="9"/>
  <c r="E10" i="9"/>
  <c r="E11" i="9"/>
  <c r="G16" i="9"/>
  <c r="I25" i="9"/>
  <c r="L16" i="9"/>
  <c r="J8" i="9"/>
  <c r="E15" i="9"/>
  <c r="E16" i="9"/>
  <c r="O8" i="9"/>
  <c r="D25" i="9"/>
  <c r="E7" i="9"/>
  <c r="O12" i="9"/>
  <c r="O10" i="9"/>
  <c r="O13" i="9"/>
  <c r="O11" i="9"/>
  <c r="O14" i="9"/>
  <c r="O15" i="9"/>
  <c r="J12" i="9"/>
  <c r="J7" i="9"/>
  <c r="J10" i="9"/>
  <c r="J14" i="9"/>
  <c r="J13" i="9"/>
  <c r="J11" i="9"/>
  <c r="J15" i="9"/>
  <c r="L19" i="8"/>
  <c r="K19" i="8"/>
  <c r="J19" i="8"/>
  <c r="I19" i="8"/>
  <c r="H19" i="8"/>
  <c r="G19" i="8"/>
  <c r="F19" i="8"/>
  <c r="E19" i="8"/>
  <c r="D19" i="8"/>
  <c r="C19" i="8"/>
  <c r="L18" i="8"/>
  <c r="K18" i="8"/>
  <c r="J18" i="8"/>
  <c r="I18" i="8"/>
  <c r="H18" i="8"/>
  <c r="G18" i="8"/>
  <c r="F18" i="8"/>
  <c r="E18" i="8"/>
  <c r="D18" i="8"/>
  <c r="C18" i="8"/>
  <c r="L17" i="8"/>
  <c r="K17" i="8"/>
  <c r="J17" i="8"/>
  <c r="I17" i="8"/>
  <c r="H17" i="8"/>
  <c r="G17" i="8"/>
  <c r="F17" i="8"/>
  <c r="E17" i="8"/>
  <c r="D17" i="8"/>
  <c r="C17" i="8"/>
  <c r="L15" i="8"/>
  <c r="K15" i="8"/>
  <c r="J15" i="8"/>
  <c r="I15" i="8"/>
  <c r="H15" i="8"/>
  <c r="G15" i="8"/>
  <c r="F15" i="8"/>
  <c r="E15" i="8"/>
  <c r="D15" i="8"/>
  <c r="C15" i="8"/>
  <c r="L14" i="8"/>
  <c r="K14" i="8"/>
  <c r="J14" i="8"/>
  <c r="I14" i="8"/>
  <c r="H14" i="8"/>
  <c r="G14" i="8"/>
  <c r="F14" i="8"/>
  <c r="E14" i="8"/>
  <c r="D14" i="8"/>
  <c r="C14" i="8"/>
  <c r="L13" i="8"/>
  <c r="K13" i="8"/>
  <c r="J13" i="8"/>
  <c r="I13" i="8"/>
  <c r="H13" i="8"/>
  <c r="G13" i="8"/>
  <c r="F13" i="8"/>
  <c r="E13" i="8"/>
  <c r="D13" i="8"/>
  <c r="C13" i="8"/>
  <c r="D12" i="8"/>
  <c r="E12" i="8"/>
  <c r="F12" i="8"/>
  <c r="G12" i="8"/>
  <c r="H12" i="8"/>
  <c r="I12" i="8"/>
  <c r="J12" i="8"/>
  <c r="K12" i="8"/>
  <c r="L12" i="8"/>
  <c r="C12" i="8"/>
  <c r="D11" i="8"/>
  <c r="E11" i="8"/>
  <c r="F11" i="8"/>
  <c r="G11" i="8"/>
  <c r="H11" i="8"/>
  <c r="I11" i="8"/>
  <c r="J11" i="8"/>
  <c r="K11" i="8"/>
  <c r="L11" i="8"/>
  <c r="C11" i="8"/>
  <c r="D26" i="9" l="1"/>
  <c r="N26" i="9"/>
  <c r="I26" i="9"/>
  <c r="L17" i="9"/>
  <c r="L18" i="9" s="1"/>
  <c r="G17" i="9"/>
  <c r="J16" i="9"/>
  <c r="H47" i="7"/>
  <c r="H48" i="7" s="1"/>
  <c r="H9" i="8" s="1"/>
  <c r="C48" i="7"/>
  <c r="C50" i="7"/>
  <c r="C22" i="8" s="1"/>
  <c r="C24" i="8" s="1"/>
  <c r="L48" i="7"/>
  <c r="K48" i="7"/>
  <c r="J48" i="7"/>
  <c r="J9" i="8" s="1"/>
  <c r="I48" i="7"/>
  <c r="I9" i="8" s="1"/>
  <c r="G48" i="7"/>
  <c r="F48" i="7"/>
  <c r="F9" i="8" s="1"/>
  <c r="E48" i="7"/>
  <c r="E50" i="7" s="1"/>
  <c r="E22" i="8" s="1"/>
  <c r="E24" i="8" s="1"/>
  <c r="D48" i="7"/>
  <c r="G9" i="8"/>
  <c r="K9" i="8"/>
  <c r="L9" i="8"/>
  <c r="D9" i="8"/>
  <c r="C44" i="7"/>
  <c r="C47" i="7"/>
  <c r="L50" i="7"/>
  <c r="L22" i="8" s="1"/>
  <c r="L24" i="8" s="1"/>
  <c r="K50" i="7"/>
  <c r="K22" i="8" s="1"/>
  <c r="K24" i="8" s="1"/>
  <c r="J50" i="7"/>
  <c r="J22" i="8" s="1"/>
  <c r="J24" i="8" s="1"/>
  <c r="I50" i="7"/>
  <c r="I22" i="8" s="1"/>
  <c r="I24" i="8" s="1"/>
  <c r="G50" i="7"/>
  <c r="G22" i="8" s="1"/>
  <c r="G24" i="8" s="1"/>
  <c r="F50" i="7"/>
  <c r="F22" i="8" s="1"/>
  <c r="F24" i="8" s="1"/>
  <c r="D50" i="7"/>
  <c r="D22" i="8" s="1"/>
  <c r="D24" i="8" s="1"/>
  <c r="L47" i="7"/>
  <c r="K47" i="7"/>
  <c r="J47" i="7"/>
  <c r="I47" i="7"/>
  <c r="G47" i="7"/>
  <c r="F47" i="7"/>
  <c r="E47" i="7"/>
  <c r="D47" i="7"/>
  <c r="L45" i="7"/>
  <c r="K45" i="7"/>
  <c r="J45" i="7"/>
  <c r="I45" i="7"/>
  <c r="H45" i="7"/>
  <c r="G45" i="7"/>
  <c r="F45" i="7"/>
  <c r="E45" i="7"/>
  <c r="D45" i="7"/>
  <c r="L44" i="7"/>
  <c r="K44" i="7"/>
  <c r="J44" i="7"/>
  <c r="I44" i="7"/>
  <c r="H44" i="7"/>
  <c r="G44" i="7"/>
  <c r="F44" i="7"/>
  <c r="E44" i="7"/>
  <c r="D44" i="7"/>
  <c r="D42" i="7"/>
  <c r="E42" i="7"/>
  <c r="F42" i="7"/>
  <c r="G42" i="7"/>
  <c r="H42" i="7"/>
  <c r="I42" i="7"/>
  <c r="J42" i="7"/>
  <c r="K42" i="7"/>
  <c r="L42" i="7"/>
  <c r="C42" i="7"/>
  <c r="L3" i="8"/>
  <c r="K3" i="8"/>
  <c r="J3" i="8"/>
  <c r="I3" i="8"/>
  <c r="H3" i="8"/>
  <c r="G3" i="8"/>
  <c r="F3" i="8"/>
  <c r="E3" i="8"/>
  <c r="D3" i="8"/>
  <c r="C3" i="8"/>
  <c r="B2" i="8"/>
  <c r="E17" i="9" l="1"/>
  <c r="E18" i="9"/>
  <c r="O16" i="9"/>
  <c r="G18" i="9"/>
  <c r="L19" i="9"/>
  <c r="H50" i="7"/>
  <c r="H22" i="8" s="1"/>
  <c r="H24" i="8" s="1"/>
  <c r="E9" i="8"/>
  <c r="O17" i="9" l="1"/>
  <c r="J17" i="9"/>
  <c r="E19" i="9"/>
  <c r="O18" i="9"/>
  <c r="L20" i="9"/>
  <c r="G19" i="9"/>
  <c r="J18" i="9"/>
  <c r="L83" i="7"/>
  <c r="K83" i="7"/>
  <c r="J83" i="7"/>
  <c r="I83" i="7"/>
  <c r="H83" i="7"/>
  <c r="G83" i="7"/>
  <c r="F83" i="7"/>
  <c r="E83" i="7"/>
  <c r="D83" i="7"/>
  <c r="C83" i="7"/>
  <c r="L81" i="7"/>
  <c r="K81" i="7"/>
  <c r="J81" i="7"/>
  <c r="I81" i="7"/>
  <c r="H81" i="7"/>
  <c r="G81" i="7"/>
  <c r="F81" i="7"/>
  <c r="E81" i="7"/>
  <c r="D81" i="7"/>
  <c r="C81" i="7"/>
  <c r="L79" i="7"/>
  <c r="K79" i="7"/>
  <c r="J79" i="7"/>
  <c r="I79" i="7"/>
  <c r="H79" i="7"/>
  <c r="G79" i="7"/>
  <c r="F79" i="7"/>
  <c r="E79" i="7"/>
  <c r="D79" i="7"/>
  <c r="C79" i="7"/>
  <c r="L77" i="7"/>
  <c r="K77" i="7"/>
  <c r="J77" i="7"/>
  <c r="I77" i="7"/>
  <c r="H77" i="7"/>
  <c r="G77" i="7"/>
  <c r="F77" i="7"/>
  <c r="E77" i="7"/>
  <c r="D77" i="7"/>
  <c r="C77" i="7"/>
  <c r="L69" i="7"/>
  <c r="K69" i="7"/>
  <c r="J69" i="7"/>
  <c r="I69" i="7"/>
  <c r="H69" i="7"/>
  <c r="G69" i="7"/>
  <c r="F69" i="7"/>
  <c r="E69" i="7"/>
  <c r="D69" i="7"/>
  <c r="C69" i="7"/>
  <c r="L68" i="7"/>
  <c r="K68" i="7"/>
  <c r="J68" i="7"/>
  <c r="I68" i="7"/>
  <c r="H68" i="7"/>
  <c r="G68" i="7"/>
  <c r="F68" i="7"/>
  <c r="E68" i="7"/>
  <c r="D68" i="7"/>
  <c r="C68" i="7"/>
  <c r="L67" i="7"/>
  <c r="K67" i="7"/>
  <c r="J67" i="7"/>
  <c r="I67" i="7"/>
  <c r="H67" i="7"/>
  <c r="G67" i="7"/>
  <c r="F67" i="7"/>
  <c r="E67" i="7"/>
  <c r="D67" i="7"/>
  <c r="C67" i="7"/>
  <c r="D64" i="7"/>
  <c r="E64" i="7"/>
  <c r="F64" i="7"/>
  <c r="G64" i="7"/>
  <c r="H64" i="7"/>
  <c r="I64" i="7"/>
  <c r="J64" i="7"/>
  <c r="K64" i="7"/>
  <c r="L64" i="7"/>
  <c r="C64" i="7"/>
  <c r="L63" i="7"/>
  <c r="K63" i="7"/>
  <c r="J63" i="7"/>
  <c r="I63" i="7"/>
  <c r="H63" i="7"/>
  <c r="G63" i="7"/>
  <c r="F63" i="7"/>
  <c r="E63" i="7"/>
  <c r="D63" i="7"/>
  <c r="C63" i="7"/>
  <c r="L62" i="7"/>
  <c r="K62" i="7"/>
  <c r="J62" i="7"/>
  <c r="I62" i="7"/>
  <c r="H62" i="7"/>
  <c r="G62" i="7"/>
  <c r="F62" i="7"/>
  <c r="E62" i="7"/>
  <c r="D62" i="7"/>
  <c r="C62" i="7"/>
  <c r="L61" i="7"/>
  <c r="K61" i="7"/>
  <c r="J61" i="7"/>
  <c r="I61" i="7"/>
  <c r="H61" i="7"/>
  <c r="G61" i="7"/>
  <c r="F61" i="7"/>
  <c r="E61" i="7"/>
  <c r="D61" i="7"/>
  <c r="C61" i="7"/>
  <c r="D56" i="7"/>
  <c r="E56" i="7"/>
  <c r="F56" i="7"/>
  <c r="G56" i="7"/>
  <c r="H56" i="7"/>
  <c r="I56" i="7"/>
  <c r="J56" i="7"/>
  <c r="K56" i="7"/>
  <c r="L56" i="7"/>
  <c r="D57" i="7"/>
  <c r="E57" i="7"/>
  <c r="F57" i="7"/>
  <c r="G57" i="7"/>
  <c r="H57" i="7"/>
  <c r="I57" i="7"/>
  <c r="J57" i="7"/>
  <c r="K57" i="7"/>
  <c r="L57" i="7"/>
  <c r="D58" i="7"/>
  <c r="E58" i="7"/>
  <c r="F58" i="7"/>
  <c r="G58" i="7"/>
  <c r="H58" i="7"/>
  <c r="I58" i="7"/>
  <c r="J58" i="7"/>
  <c r="K58" i="7"/>
  <c r="L58" i="7"/>
  <c r="D59" i="7"/>
  <c r="E59" i="7"/>
  <c r="F59" i="7"/>
  <c r="G59" i="7"/>
  <c r="H59" i="7"/>
  <c r="I59" i="7"/>
  <c r="J59" i="7"/>
  <c r="K59" i="7"/>
  <c r="L59" i="7"/>
  <c r="C57" i="7"/>
  <c r="C58" i="7"/>
  <c r="C59" i="7"/>
  <c r="C56" i="7"/>
  <c r="L55" i="7"/>
  <c r="K55" i="7"/>
  <c r="J55" i="7"/>
  <c r="I55" i="7"/>
  <c r="H55" i="7"/>
  <c r="G55" i="7"/>
  <c r="F55" i="7"/>
  <c r="E55" i="7"/>
  <c r="D55" i="7"/>
  <c r="C55" i="7"/>
  <c r="E20" i="9" l="1"/>
  <c r="O19" i="9"/>
  <c r="G20" i="9"/>
  <c r="J19" i="9"/>
  <c r="I70" i="7"/>
  <c r="J70" i="7"/>
  <c r="E65" i="7"/>
  <c r="F65" i="7"/>
  <c r="G65" i="7"/>
  <c r="I65" i="7"/>
  <c r="H65" i="7"/>
  <c r="G70" i="7"/>
  <c r="E70" i="7"/>
  <c r="K70" i="7"/>
  <c r="D70" i="7"/>
  <c r="C65" i="7"/>
  <c r="K65" i="7"/>
  <c r="C70" i="7"/>
  <c r="J65" i="7"/>
  <c r="H70" i="7"/>
  <c r="F70" i="7"/>
  <c r="L70" i="7"/>
  <c r="D65" i="7"/>
  <c r="D72" i="7" s="1"/>
  <c r="D73" i="7" s="1"/>
  <c r="L65" i="7"/>
  <c r="E21" i="9" l="1"/>
  <c r="O20" i="9"/>
  <c r="J20" i="9"/>
  <c r="J72" i="7"/>
  <c r="J73" i="7" s="1"/>
  <c r="I72" i="7"/>
  <c r="I73" i="7" s="1"/>
  <c r="F72" i="7"/>
  <c r="F73" i="7" s="1"/>
  <c r="E72" i="7"/>
  <c r="E73" i="7" s="1"/>
  <c r="G72" i="7"/>
  <c r="G73" i="7" s="1"/>
  <c r="K72" i="7"/>
  <c r="K73" i="7" s="1"/>
  <c r="C72" i="7"/>
  <c r="C73" i="7" s="1"/>
  <c r="H72" i="7"/>
  <c r="H73" i="7" s="1"/>
  <c r="L72" i="7"/>
  <c r="L73" i="7" s="1"/>
  <c r="O21" i="9" l="1"/>
  <c r="J21" i="9"/>
  <c r="M33" i="7"/>
  <c r="M27" i="7"/>
  <c r="M22" i="7"/>
  <c r="M10" i="7"/>
  <c r="M7" i="7"/>
  <c r="D33" i="7"/>
  <c r="E33" i="7"/>
  <c r="F33" i="7"/>
  <c r="G33" i="7"/>
  <c r="H33" i="7"/>
  <c r="I33" i="7"/>
  <c r="J33" i="7"/>
  <c r="K33" i="7"/>
  <c r="L33" i="7"/>
  <c r="C33" i="7"/>
  <c r="L27" i="7"/>
  <c r="K27" i="7"/>
  <c r="J27" i="7"/>
  <c r="I27" i="7"/>
  <c r="H27" i="7"/>
  <c r="G27" i="7"/>
  <c r="F27" i="7"/>
  <c r="E27" i="7"/>
  <c r="D27" i="7"/>
  <c r="C27" i="7"/>
  <c r="L22" i="7"/>
  <c r="K22" i="7"/>
  <c r="J22" i="7"/>
  <c r="I22" i="7"/>
  <c r="H22" i="7"/>
  <c r="G22" i="7"/>
  <c r="F22" i="7"/>
  <c r="E22" i="7"/>
  <c r="D22" i="7"/>
  <c r="C22" i="7"/>
  <c r="C16" i="7"/>
  <c r="L16" i="7"/>
  <c r="K16" i="7"/>
  <c r="J16" i="7"/>
  <c r="I16" i="7"/>
  <c r="H16" i="7"/>
  <c r="G16" i="7"/>
  <c r="F16" i="7"/>
  <c r="E16" i="7"/>
  <c r="D16" i="7"/>
  <c r="D10" i="7"/>
  <c r="E10" i="7"/>
  <c r="F10" i="7"/>
  <c r="G10" i="7"/>
  <c r="H10" i="7"/>
  <c r="I10" i="7"/>
  <c r="J10" i="7"/>
  <c r="K10" i="7"/>
  <c r="L10" i="7"/>
  <c r="C10" i="7"/>
  <c r="D7" i="7"/>
  <c r="E7" i="7"/>
  <c r="F7" i="7"/>
  <c r="G7" i="7"/>
  <c r="H7" i="7"/>
  <c r="I7" i="7"/>
  <c r="J7" i="7"/>
  <c r="K7" i="7"/>
  <c r="L7" i="7"/>
  <c r="C7" i="7"/>
  <c r="M23" i="7" l="1"/>
  <c r="C13" i="7"/>
  <c r="C19" i="7" s="1"/>
  <c r="M13" i="7"/>
  <c r="I17" i="7"/>
  <c r="D28" i="7"/>
  <c r="M28" i="7"/>
  <c r="L23" i="7"/>
  <c r="E17" i="7"/>
  <c r="D23" i="7"/>
  <c r="F17" i="7"/>
  <c r="H23" i="7"/>
  <c r="K23" i="7"/>
  <c r="J17" i="7"/>
  <c r="I23" i="7"/>
  <c r="I5" i="8"/>
  <c r="E28" i="7"/>
  <c r="H28" i="7"/>
  <c r="L28" i="7"/>
  <c r="K17" i="7"/>
  <c r="F23" i="7"/>
  <c r="I28" i="7"/>
  <c r="K5" i="8"/>
  <c r="J28" i="7"/>
  <c r="L17" i="7"/>
  <c r="C28" i="7"/>
  <c r="K28" i="7"/>
  <c r="J5" i="8"/>
  <c r="I13" i="7"/>
  <c r="I14" i="7" s="1"/>
  <c r="G17" i="7"/>
  <c r="J23" i="7"/>
  <c r="J13" i="7"/>
  <c r="J14" i="7" s="1"/>
  <c r="H17" i="7"/>
  <c r="C23" i="7"/>
  <c r="G13" i="7"/>
  <c r="G14" i="7" s="1"/>
  <c r="K13" i="7"/>
  <c r="K14" i="7" s="1"/>
  <c r="D8" i="7"/>
  <c r="D5" i="8" s="1"/>
  <c r="D17" i="7"/>
  <c r="F13" i="7"/>
  <c r="F14" i="7" s="1"/>
  <c r="H13" i="7"/>
  <c r="H19" i="7" s="1"/>
  <c r="E23" i="7"/>
  <c r="G28" i="7"/>
  <c r="H5" i="8"/>
  <c r="F28" i="7"/>
  <c r="G5" i="8"/>
  <c r="D13" i="7"/>
  <c r="L13" i="7"/>
  <c r="F5" i="8"/>
  <c r="E13" i="7"/>
  <c r="C17" i="7"/>
  <c r="C8" i="7"/>
  <c r="E5" i="8"/>
  <c r="G23" i="7"/>
  <c r="L5" i="8"/>
  <c r="C14" i="7" l="1"/>
  <c r="M19" i="7"/>
  <c r="M14" i="7"/>
  <c r="F19" i="7"/>
  <c r="I19" i="7"/>
  <c r="H14" i="7"/>
  <c r="G19" i="7"/>
  <c r="J19" i="7"/>
  <c r="K19" i="7"/>
  <c r="D14" i="7"/>
  <c r="D19" i="7"/>
  <c r="D6" i="8" s="1"/>
  <c r="H25" i="7"/>
  <c r="H20" i="7"/>
  <c r="E14" i="7"/>
  <c r="E19" i="7"/>
  <c r="L14" i="7"/>
  <c r="L19" i="7"/>
  <c r="L6" i="8" s="1"/>
  <c r="C25" i="7"/>
  <c r="C20" i="7"/>
  <c r="E6" i="8" l="1"/>
  <c r="J20" i="7"/>
  <c r="J6" i="8"/>
  <c r="G20" i="7"/>
  <c r="G6" i="8"/>
  <c r="I25" i="7"/>
  <c r="I7" i="8" s="1"/>
  <c r="I6" i="8"/>
  <c r="H7" i="8"/>
  <c r="F20" i="7"/>
  <c r="F6" i="8"/>
  <c r="K25" i="7"/>
  <c r="K6" i="8"/>
  <c r="H6" i="8"/>
  <c r="F25" i="7"/>
  <c r="K20" i="7"/>
  <c r="M25" i="7"/>
  <c r="M30" i="7" s="1"/>
  <c r="M31" i="7" s="1"/>
  <c r="M20" i="7"/>
  <c r="J25" i="7"/>
  <c r="H30" i="7"/>
  <c r="H31" i="7" s="1"/>
  <c r="G25" i="7"/>
  <c r="C30" i="7"/>
  <c r="C31" i="7" s="1"/>
  <c r="I20" i="7"/>
  <c r="K30" i="7"/>
  <c r="K31" i="7" s="1"/>
  <c r="D25" i="7"/>
  <c r="D7" i="8" s="1"/>
  <c r="D20" i="7"/>
  <c r="E25" i="7"/>
  <c r="E20" i="7"/>
  <c r="L25" i="7"/>
  <c r="L20" i="7"/>
  <c r="L7" i="8" l="1"/>
  <c r="F7" i="8"/>
  <c r="K7" i="8"/>
  <c r="F30" i="7"/>
  <c r="F31" i="7" s="1"/>
  <c r="E7" i="8"/>
  <c r="G7" i="8"/>
  <c r="I30" i="7"/>
  <c r="I31" i="7" s="1"/>
  <c r="J30" i="7"/>
  <c r="J31" i="7" s="1"/>
  <c r="J7" i="8"/>
  <c r="M34" i="7"/>
  <c r="M36" i="7" s="1"/>
  <c r="M37" i="7" s="1"/>
  <c r="M39" i="7"/>
  <c r="M40" i="7" s="1"/>
  <c r="F34" i="7"/>
  <c r="F36" i="7" s="1"/>
  <c r="F37" i="7" s="1"/>
  <c r="F39" i="7"/>
  <c r="L30" i="7"/>
  <c r="H39" i="7"/>
  <c r="H34" i="7"/>
  <c r="H36" i="7" s="1"/>
  <c r="H37" i="7" s="1"/>
  <c r="C34" i="7"/>
  <c r="C36" i="7" s="1"/>
  <c r="C37" i="7" s="1"/>
  <c r="C39" i="7"/>
  <c r="C40" i="7" s="1"/>
  <c r="G30" i="7"/>
  <c r="G31" i="7" s="1"/>
  <c r="K39" i="7"/>
  <c r="K34" i="7"/>
  <c r="K36" i="7" s="1"/>
  <c r="K37" i="7" s="1"/>
  <c r="E30" i="7"/>
  <c r="E31" i="7" s="1"/>
  <c r="D30" i="7"/>
  <c r="D31" i="7" s="1"/>
  <c r="I39" i="7"/>
  <c r="I34" i="7" l="1"/>
  <c r="I36" i="7" s="1"/>
  <c r="I37" i="7" s="1"/>
  <c r="J34" i="7"/>
  <c r="J36" i="7" s="1"/>
  <c r="J37" i="7" s="1"/>
  <c r="F40" i="7"/>
  <c r="K40" i="7"/>
  <c r="I40" i="7"/>
  <c r="I8" i="8"/>
  <c r="J39" i="7"/>
  <c r="H40" i="7"/>
  <c r="L31" i="7"/>
  <c r="L39" i="7"/>
  <c r="L8" i="8" s="1"/>
  <c r="E34" i="7"/>
  <c r="E36" i="7" s="1"/>
  <c r="E37" i="7" s="1"/>
  <c r="E39" i="7"/>
  <c r="L34" i="7"/>
  <c r="L36" i="7" s="1"/>
  <c r="L37" i="7" s="1"/>
  <c r="D39" i="7"/>
  <c r="D34" i="7"/>
  <c r="D36" i="7" s="1"/>
  <c r="D37" i="7" s="1"/>
  <c r="G39" i="7"/>
  <c r="G34" i="7"/>
  <c r="G36" i="7" s="1"/>
  <c r="G37" i="7" s="1"/>
  <c r="L40" i="7" l="1"/>
  <c r="D40" i="7"/>
  <c r="D8" i="8"/>
  <c r="J40" i="7"/>
  <c r="J8" i="8"/>
  <c r="E40" i="7"/>
  <c r="E8" i="8"/>
  <c r="K8" i="8"/>
  <c r="G40" i="7"/>
  <c r="G8" i="8"/>
  <c r="F8" i="8"/>
  <c r="H8" i="8"/>
  <c r="D3" i="7"/>
  <c r="E3" i="7"/>
  <c r="F3" i="7"/>
  <c r="G3" i="7"/>
  <c r="H3" i="7"/>
  <c r="I3" i="7"/>
  <c r="J3" i="7"/>
  <c r="K3" i="7"/>
  <c r="L3" i="7"/>
  <c r="C3" i="7"/>
  <c r="B2" i="7"/>
  <c r="B6" i="6"/>
  <c r="E1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Anvay</author>
  </authors>
  <commentList>
    <comment ref="M3" authorId="0" shapeId="0" xr:uid="{ED6B481D-933C-455B-932B-1EA30F6C180C}">
      <text>
        <r>
          <rPr>
            <b/>
            <sz val="9"/>
            <color indexed="81"/>
            <rFont val="Tahoma"/>
            <family val="2"/>
          </rPr>
          <t>Anvay:</t>
        </r>
        <r>
          <rPr>
            <sz val="9"/>
            <color indexed="81"/>
            <rFont val="Tahoma"/>
            <family val="2"/>
          </rPr>
          <t xml:space="preserve">
Last Tweleve Month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<sst xmlns="http://schemas.openxmlformats.org/spreadsheetml/2006/main" count="178" uniqueCount="122">
  <si>
    <t>COMPANY NAME</t>
  </si>
  <si>
    <t>Sales</t>
  </si>
  <si>
    <t>Expenses</t>
  </si>
  <si>
    <t>Operating Profit</t>
  </si>
  <si>
    <t>Other Income</t>
  </si>
  <si>
    <t>Depreciation</t>
  </si>
  <si>
    <t>Interest</t>
  </si>
  <si>
    <t>Profit before tax</t>
  </si>
  <si>
    <t>Tax</t>
  </si>
  <si>
    <t>Net profit</t>
  </si>
  <si>
    <t>Equity Share Capital</t>
  </si>
  <si>
    <t>Reserves</t>
  </si>
  <si>
    <t>Total</t>
  </si>
  <si>
    <t>Net Block</t>
  </si>
  <si>
    <t>Capital Work in Progress</t>
  </si>
  <si>
    <t>Investments</t>
  </si>
  <si>
    <t>Face Value</t>
  </si>
  <si>
    <t>Cash from Operating Activity</t>
  </si>
  <si>
    <t>Cash from Investing Activity</t>
  </si>
  <si>
    <t>Cash from Financing Activity</t>
  </si>
  <si>
    <t>Net Cash Flow</t>
  </si>
  <si>
    <t>PLEASE DO NOT MAKE ANY CHANGES TO THIS SHEET</t>
  </si>
  <si>
    <t>PROFIT &amp; LOSS</t>
  </si>
  <si>
    <t>Report Date</t>
  </si>
  <si>
    <t>Quarters</t>
  </si>
  <si>
    <t>BALANCE SHEET</t>
  </si>
  <si>
    <t>CASH FLOW:</t>
  </si>
  <si>
    <t>Number of shares</t>
  </si>
  <si>
    <t>Current Price</t>
  </si>
  <si>
    <t>Inventory</t>
  </si>
  <si>
    <t>LATEST VERSION</t>
  </si>
  <si>
    <t>CURRENT VERSION</t>
  </si>
  <si>
    <t>ITC LTD</t>
  </si>
  <si>
    <t>META</t>
  </si>
  <si>
    <t>Dividend Amount</t>
  </si>
  <si>
    <t>Borrowings</t>
  </si>
  <si>
    <t>Other Liabilities</t>
  </si>
  <si>
    <t>Other Assets</t>
  </si>
  <si>
    <t>No. of Equity Shares</t>
  </si>
  <si>
    <t>New Bonus Shares</t>
  </si>
  <si>
    <t>DERIVED:</t>
  </si>
  <si>
    <t>PRICE:</t>
  </si>
  <si>
    <t>Receivables</t>
  </si>
  <si>
    <t>Market Capitalization</t>
  </si>
  <si>
    <t>Raw Material Cost</t>
  </si>
  <si>
    <t>Change in Inventory</t>
  </si>
  <si>
    <t>Power and Fuel</t>
  </si>
  <si>
    <t>Other Mfr. Exp</t>
  </si>
  <si>
    <t>Employee Cost</t>
  </si>
  <si>
    <t>Selling and admin</t>
  </si>
  <si>
    <t>Other Expenses</t>
  </si>
  <si>
    <t>Cash &amp; Bank</t>
  </si>
  <si>
    <t>Face value</t>
  </si>
  <si>
    <t>Adjusted Equity Shares in Cr</t>
  </si>
  <si>
    <t>Year</t>
  </si>
  <si>
    <t>LTM</t>
  </si>
  <si>
    <t>Figures in Cr</t>
  </si>
  <si>
    <t>#</t>
  </si>
  <si>
    <t>Income Statement</t>
  </si>
  <si>
    <t>% Growth</t>
  </si>
  <si>
    <t>% Sales</t>
  </si>
  <si>
    <t>Gross Profit</t>
  </si>
  <si>
    <t>COGS</t>
  </si>
  <si>
    <t>Selling &amp; Adm Expenses</t>
  </si>
  <si>
    <t>EBITDA</t>
  </si>
  <si>
    <t xml:space="preserve">Interest </t>
  </si>
  <si>
    <t>EBIT (Operating Profit)</t>
  </si>
  <si>
    <t>Effective Tax Rate%</t>
  </si>
  <si>
    <t>EBT</t>
  </si>
  <si>
    <t>NOPAT</t>
  </si>
  <si>
    <t>-</t>
  </si>
  <si>
    <t xml:space="preserve">Balance Sheet </t>
  </si>
  <si>
    <t>Total Laibilities</t>
  </si>
  <si>
    <t>Total Non Current Assets</t>
  </si>
  <si>
    <t>Total Current Assets</t>
  </si>
  <si>
    <t>Total Assets</t>
  </si>
  <si>
    <t>Check</t>
  </si>
  <si>
    <t>Cash Flow Statement</t>
  </si>
  <si>
    <t>Sales Growth</t>
  </si>
  <si>
    <t>EBITDA Growth</t>
  </si>
  <si>
    <t>EBIT Growth</t>
  </si>
  <si>
    <t>Net Profit Growth</t>
  </si>
  <si>
    <t>Dividend Growth</t>
  </si>
  <si>
    <t>Net Profit</t>
  </si>
  <si>
    <t>Earning Per Share</t>
  </si>
  <si>
    <t xml:space="preserve">EPS Growth % </t>
  </si>
  <si>
    <t>Dividend Per Share</t>
  </si>
  <si>
    <t>Retained Earnings</t>
  </si>
  <si>
    <t>Dividend Payout Ratio %</t>
  </si>
  <si>
    <t>Gross Margin</t>
  </si>
  <si>
    <t>EBITDA Margin</t>
  </si>
  <si>
    <t>EBIT Margin</t>
  </si>
  <si>
    <t>EBT Margin</t>
  </si>
  <si>
    <t>Net Profit Margin</t>
  </si>
  <si>
    <t>SalesExpenses%Sales</t>
  </si>
  <si>
    <t>Deperation%Sales</t>
  </si>
  <si>
    <t>OperatinIncome%Sales</t>
  </si>
  <si>
    <t>Return on Captital Employed</t>
  </si>
  <si>
    <t>Retained Earning%</t>
  </si>
  <si>
    <t>Return on Equity%</t>
  </si>
  <si>
    <t>Self Sustained Grwoth Rate</t>
  </si>
  <si>
    <t>Interest Coverage Rate</t>
  </si>
  <si>
    <t>Debtor Turnover Ratio</t>
  </si>
  <si>
    <t>Creditor Turnover Ratio</t>
  </si>
  <si>
    <t>Inventory Turnover</t>
  </si>
  <si>
    <t>Fixed Asset Turnover</t>
  </si>
  <si>
    <t>Capital Turnover Ratio</t>
  </si>
  <si>
    <t>Equity Turnover Ratio</t>
  </si>
  <si>
    <t>Debtors Days</t>
  </si>
  <si>
    <t>Payable Days</t>
  </si>
  <si>
    <t>Inventory Days</t>
  </si>
  <si>
    <t>Cash Conversion Cycle (in Days)</t>
  </si>
  <si>
    <t>Year Weight</t>
  </si>
  <si>
    <t>ITC- Sales Forecasting</t>
  </si>
  <si>
    <t>ITC- EBITDA Forecasting</t>
  </si>
  <si>
    <t xml:space="preserve"> Return</t>
  </si>
  <si>
    <t>Return</t>
  </si>
  <si>
    <t>ITC- Net Profit Forecasting</t>
  </si>
  <si>
    <t>On 10 Year Basis</t>
  </si>
  <si>
    <t>Geometric Mean</t>
  </si>
  <si>
    <t>Standard Deviation</t>
  </si>
  <si>
    <t>Forecasting by Matematically (Historical)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</si>
</sst>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 * #,##0.00_ ;_ * \-#,##0.00_ ;_ * &quot;-&quot;??_ ;_ @_ "/>
    <numFmt numFmtId="165" formatCode="[$-409]mmm\-yy;@"/>
    <numFmt numFmtId="166" formatCode="\₹\ #,##0.0;\(\₹\ #,##0\)"/>
    <numFmt numFmtId="167" formatCode="0&quot;x&quot;"/>
    <numFmt numFmtId="168" formatCode="yyyy"/>
    <numFmt numFmtId="175" formatCode="0.00%;\(0.00%\)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9"/>
      <color theme="0" tint="-0.14999847407452621"/>
      <name val="Calibri"/>
      <family val="2"/>
      <scheme val="minor"/>
    </font>
    <font>
      <i/>
      <sz val="11"/>
      <color theme="0" tint="-0.34998626667073579"/>
      <name val="Calibri"/>
      <family val="2"/>
      <scheme val="minor"/>
    </font>
    <font>
      <i/>
      <sz val="11"/>
      <color theme="0" tint="-0.249977111117893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FF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rgb="FF0275D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rgb="FF0070C0"/>
      </top>
      <bottom style="thick">
        <color rgb="FF0070C0"/>
      </bottom>
      <diagonal/>
    </border>
    <border>
      <left/>
      <right/>
      <top style="dashed">
        <color rgb="FF0275D8"/>
      </top>
      <bottom style="dashed">
        <color rgb="FF0275D8"/>
      </bottom>
      <diagonal/>
    </border>
    <border>
      <left/>
      <right/>
      <top style="dashed">
        <color theme="4" tint="-0.24994659260841701"/>
      </top>
      <bottom style="dashed">
        <color theme="4" tint="-0.24994659260841701"/>
      </bottom>
      <diagonal/>
    </border>
    <border>
      <left/>
      <right/>
      <top style="dashed">
        <color rgb="FF0070C0"/>
      </top>
      <bottom/>
      <diagonal/>
    </border>
    <border>
      <left/>
      <right/>
      <top/>
      <bottom style="dashed">
        <color rgb="FF0070C0"/>
      </bottom>
      <diagonal/>
    </border>
    <border>
      <left/>
      <right/>
      <top/>
      <bottom style="dashed">
        <color theme="4" tint="0.59996337778862885"/>
      </bottom>
      <diagonal/>
    </border>
    <border>
      <left/>
      <right/>
      <top style="dashed">
        <color theme="4" tint="0.59996337778862885"/>
      </top>
      <bottom style="dashed">
        <color theme="4" tint="0.59996337778862885"/>
      </bottom>
      <diagonal/>
    </border>
  </borders>
  <cellStyleXfs count="5">
    <xf numFmtId="0" fontId="0" fillId="0" borderId="0"/>
    <xf numFmtId="164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" fillId="2" borderId="0" applyNumberFormat="0" applyBorder="0" applyAlignment="0" applyProtection="0"/>
    <xf numFmtId="9" fontId="3" fillId="0" borderId="0" applyFont="0" applyFill="0" applyBorder="0" applyAlignment="0" applyProtection="0"/>
  </cellStyleXfs>
  <cellXfs count="75">
    <xf numFmtId="0" fontId="0" fillId="0" borderId="0" xfId="0"/>
    <xf numFmtId="164" fontId="1" fillId="0" borderId="0" xfId="1" applyFont="1" applyBorder="1"/>
    <xf numFmtId="0" fontId="1" fillId="0" borderId="0" xfId="0" applyFont="1"/>
    <xf numFmtId="164" fontId="0" fillId="0" borderId="0" xfId="1" applyFont="1" applyBorder="1"/>
    <xf numFmtId="164" fontId="3" fillId="0" borderId="0" xfId="1" applyFont="1" applyBorder="1"/>
    <xf numFmtId="165" fontId="2" fillId="3" borderId="0" xfId="0" applyNumberFormat="1" applyFont="1" applyFill="1" applyAlignment="1">
      <alignment horizontal="center"/>
    </xf>
    <xf numFmtId="165" fontId="2" fillId="3" borderId="0" xfId="1" applyNumberFormat="1" applyFont="1" applyFill="1" applyBorder="1"/>
    <xf numFmtId="165" fontId="6" fillId="0" borderId="0" xfId="1" applyNumberFormat="1" applyFont="1" applyFill="1" applyBorder="1"/>
    <xf numFmtId="43" fontId="0" fillId="0" borderId="0" xfId="1" applyNumberFormat="1" applyFont="1" applyBorder="1"/>
    <xf numFmtId="0" fontId="1" fillId="4" borderId="0" xfId="0" applyFont="1" applyFill="1"/>
    <xf numFmtId="165" fontId="1" fillId="4" borderId="0" xfId="0" applyNumberFormat="1" applyFont="1" applyFill="1" applyAlignment="1">
      <alignment horizontal="right"/>
    </xf>
    <xf numFmtId="0" fontId="1" fillId="4" borderId="0" xfId="0" applyFont="1" applyFill="1" applyAlignment="1">
      <alignment horizontal="right"/>
    </xf>
    <xf numFmtId="0" fontId="8" fillId="0" borderId="0" xfId="0" applyFont="1"/>
    <xf numFmtId="0" fontId="2" fillId="5" borderId="0" xfId="0" applyFont="1" applyFill="1"/>
    <xf numFmtId="0" fontId="1" fillId="0" borderId="1" xfId="0" applyFont="1" applyBorder="1"/>
    <xf numFmtId="0" fontId="0" fillId="0" borderId="1" xfId="0" applyBorder="1"/>
    <xf numFmtId="10" fontId="9" fillId="0" borderId="0" xfId="4" applyNumberFormat="1" applyFont="1" applyAlignment="1">
      <alignment horizontal="right"/>
    </xf>
    <xf numFmtId="166" fontId="0" fillId="0" borderId="0" xfId="0" applyNumberFormat="1"/>
    <xf numFmtId="166" fontId="0" fillId="0" borderId="1" xfId="0" applyNumberFormat="1" applyBorder="1"/>
    <xf numFmtId="0" fontId="9" fillId="0" borderId="0" xfId="0" applyFont="1"/>
    <xf numFmtId="0" fontId="9" fillId="0" borderId="0" xfId="0" applyFont="1" applyAlignment="1">
      <alignment horizontal="right"/>
    </xf>
    <xf numFmtId="10" fontId="9" fillId="0" borderId="0" xfId="4" applyNumberFormat="1" applyFont="1"/>
    <xf numFmtId="166" fontId="1" fillId="0" borderId="1" xfId="0" applyNumberFormat="1" applyFont="1" applyBorder="1"/>
    <xf numFmtId="0" fontId="0" fillId="6" borderId="0" xfId="0" applyFill="1"/>
    <xf numFmtId="164" fontId="1" fillId="0" borderId="2" xfId="1" applyFont="1" applyBorder="1"/>
    <xf numFmtId="164" fontId="0" fillId="0" borderId="2" xfId="1" applyFont="1" applyFill="1" applyBorder="1"/>
    <xf numFmtId="164" fontId="10" fillId="0" borderId="0" xfId="1" applyFont="1" applyFill="1" applyBorder="1"/>
    <xf numFmtId="0" fontId="10" fillId="0" borderId="0" xfId="0" applyFont="1"/>
    <xf numFmtId="166" fontId="0" fillId="0" borderId="2" xfId="0" applyNumberFormat="1" applyBorder="1"/>
    <xf numFmtId="0" fontId="0" fillId="0" borderId="3" xfId="0" applyBorder="1"/>
    <xf numFmtId="166" fontId="0" fillId="0" borderId="3" xfId="0" applyNumberFormat="1" applyBorder="1"/>
    <xf numFmtId="164" fontId="1" fillId="0" borderId="1" xfId="1" applyFont="1" applyBorder="1"/>
    <xf numFmtId="164" fontId="0" fillId="0" borderId="1" xfId="1" applyFont="1" applyFill="1" applyBorder="1"/>
    <xf numFmtId="10" fontId="0" fillId="0" borderId="0" xfId="0" applyNumberFormat="1"/>
    <xf numFmtId="10" fontId="0" fillId="0" borderId="0" xfId="4" applyNumberFormat="1" applyFont="1"/>
    <xf numFmtId="43" fontId="0" fillId="0" borderId="0" xfId="0" applyNumberFormat="1"/>
    <xf numFmtId="0" fontId="0" fillId="0" borderId="4" xfId="0" applyBorder="1"/>
    <xf numFmtId="10" fontId="0" fillId="0" borderId="4" xfId="0" applyNumberFormat="1" applyBorder="1"/>
    <xf numFmtId="10" fontId="0" fillId="0" borderId="0" xfId="4" applyNumberFormat="1" applyFont="1" applyBorder="1"/>
    <xf numFmtId="0" fontId="0" fillId="0" borderId="5" xfId="0" applyBorder="1"/>
    <xf numFmtId="10" fontId="0" fillId="0" borderId="5" xfId="0" applyNumberFormat="1" applyBorder="1"/>
    <xf numFmtId="10" fontId="0" fillId="0" borderId="4" xfId="4" applyNumberFormat="1" applyFont="1" applyBorder="1"/>
    <xf numFmtId="167" fontId="0" fillId="0" borderId="5" xfId="0" applyNumberFormat="1" applyBorder="1"/>
    <xf numFmtId="167" fontId="0" fillId="0" borderId="4" xfId="0" applyNumberFormat="1" applyBorder="1"/>
    <xf numFmtId="167" fontId="0" fillId="0" borderId="0" xfId="0" applyNumberFormat="1"/>
    <xf numFmtId="1" fontId="0" fillId="0" borderId="4" xfId="0" applyNumberFormat="1" applyBorder="1"/>
    <xf numFmtId="1" fontId="0" fillId="0" borderId="0" xfId="0" applyNumberFormat="1"/>
    <xf numFmtId="1" fontId="0" fillId="0" borderId="5" xfId="0" applyNumberFormat="1" applyBorder="1"/>
    <xf numFmtId="164" fontId="4" fillId="0" borderId="0" xfId="2" applyNumberFormat="1" applyBorder="1" applyAlignment="1" applyProtection="1">
      <alignment horizontal="center"/>
    </xf>
    <xf numFmtId="164" fontId="2" fillId="2" borderId="0" xfId="3" applyNumberFormat="1" applyFont="1" applyBorder="1" applyAlignment="1">
      <alignment horizontal="center"/>
    </xf>
    <xf numFmtId="0" fontId="7" fillId="4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0" fontId="0" fillId="0" borderId="0" xfId="4" applyNumberFormat="1" applyFont="1" applyAlignment="1">
      <alignment horizontal="right"/>
    </xf>
    <xf numFmtId="0" fontId="1" fillId="7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1" fillId="8" borderId="0" xfId="0" applyFont="1" applyFill="1" applyAlignment="1">
      <alignment horizontal="right"/>
    </xf>
    <xf numFmtId="0" fontId="1" fillId="10" borderId="0" xfId="0" applyFont="1" applyFill="1" applyAlignment="1">
      <alignment horizontal="right"/>
    </xf>
    <xf numFmtId="0" fontId="2" fillId="10" borderId="0" xfId="0" applyFont="1" applyFill="1" applyAlignment="1">
      <alignment horizontal="left"/>
    </xf>
    <xf numFmtId="175" fontId="9" fillId="0" borderId="0" xfId="4" applyNumberFormat="1" applyFont="1" applyAlignment="1">
      <alignment horizontal="right"/>
    </xf>
    <xf numFmtId="0" fontId="13" fillId="0" borderId="6" xfId="0" applyFont="1" applyBorder="1" applyAlignment="1">
      <alignment horizontal="left"/>
    </xf>
    <xf numFmtId="168" fontId="0" fillId="0" borderId="6" xfId="0" applyNumberFormat="1" applyBorder="1" applyAlignment="1">
      <alignment horizontal="right"/>
    </xf>
    <xf numFmtId="166" fontId="0" fillId="0" borderId="6" xfId="0" applyNumberFormat="1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7" xfId="0" applyBorder="1" applyAlignment="1">
      <alignment horizontal="left"/>
    </xf>
    <xf numFmtId="168" fontId="0" fillId="0" borderId="7" xfId="0" applyNumberFormat="1" applyBorder="1" applyAlignment="1">
      <alignment horizontal="right"/>
    </xf>
    <xf numFmtId="166" fontId="0" fillId="0" borderId="7" xfId="0" applyNumberFormat="1" applyBorder="1" applyAlignment="1">
      <alignment horizontal="right"/>
    </xf>
    <xf numFmtId="175" fontId="0" fillId="0" borderId="7" xfId="4" applyNumberFormat="1" applyFont="1" applyBorder="1" applyAlignment="1">
      <alignment horizontal="right"/>
    </xf>
    <xf numFmtId="0" fontId="0" fillId="9" borderId="7" xfId="0" applyFill="1" applyBorder="1" applyAlignment="1">
      <alignment horizontal="left"/>
    </xf>
    <xf numFmtId="168" fontId="13" fillId="9" borderId="7" xfId="0" applyNumberFormat="1" applyFont="1" applyFill="1" applyBorder="1" applyAlignment="1">
      <alignment horizontal="right"/>
    </xf>
    <xf numFmtId="166" fontId="0" fillId="9" borderId="7" xfId="0" applyNumberFormat="1" applyFill="1" applyBorder="1" applyAlignment="1">
      <alignment horizontal="right"/>
    </xf>
    <xf numFmtId="175" fontId="0" fillId="9" borderId="7" xfId="4" applyNumberFormat="1" applyFont="1" applyFill="1" applyBorder="1" applyAlignment="1">
      <alignment horizontal="right"/>
    </xf>
    <xf numFmtId="168" fontId="0" fillId="9" borderId="7" xfId="0" applyNumberFormat="1" applyFill="1" applyBorder="1" applyAlignment="1">
      <alignment horizontal="right"/>
    </xf>
    <xf numFmtId="10" fontId="0" fillId="9" borderId="0" xfId="4" applyNumberFormat="1" applyFont="1" applyFill="1" applyAlignment="1">
      <alignment horizontal="right"/>
    </xf>
    <xf numFmtId="0" fontId="14" fillId="11" borderId="0" xfId="0" applyFont="1" applyFill="1" applyAlignment="1">
      <alignment horizontal="center"/>
    </xf>
  </cellXfs>
  <cellStyles count="5">
    <cellStyle name="Accent6" xfId="3" builtinId="49"/>
    <cellStyle name="Comma" xfId="1" builtinId="3"/>
    <cellStyle name="Hyperlink" xfId="2" builtinId="8"/>
    <cellStyle name="Normal" xfId="0" builtinId="0"/>
    <cellStyle name="Percent" xfId="4" builtinId="5"/>
  </cellStyles>
  <dxfs count="1">
    <dxf>
      <font>
        <b/>
        <i val="0"/>
        <color theme="0"/>
      </font>
      <fill>
        <patternFill>
          <bgColor theme="5"/>
        </patternFill>
      </fill>
    </dxf>
  </dxfs>
  <tableStyles count="1" defaultTableStyle="TableStyleMedium9" defaultPivotStyle="PivotStyleLight16">
    <tableStyle name="Invisible" pivot="0" table="0" count="0" xr9:uid="{BE836A04-8076-43BD-80CD-A7ECD09F3CAE}"/>
  </tableStyles>
  <colors>
    <mruColors>
      <color rgb="FF0000FF"/>
      <color rgb="FF0275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Adjacency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djacency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</a:schemeClr>
            </a:gs>
            <a:gs pos="75000">
              <a:schemeClr val="phClr">
                <a:shade val="100000"/>
                <a:satMod val="115000"/>
              </a:schemeClr>
            </a:gs>
            <a:gs pos="100000">
              <a:schemeClr val="phClr">
                <a:shade val="70000"/>
                <a:satMod val="130000"/>
              </a:schemeClr>
            </a:gs>
          </a:gsLst>
          <a:path path="circle">
            <a:fillToRect l="20000" t="50000" r="100000" b="50000"/>
          </a:path>
        </a:gradFill>
        <a:blipFill rotWithShape="1">
          <a:blip xmlns:r="http://schemas.openxmlformats.org/officeDocument/2006/relationships" r:embed="rId1">
            <a:duotone>
              <a:schemeClr val="phClr">
                <a:tint val="97000"/>
              </a:schemeClr>
              <a:schemeClr val="phClr">
                <a:shade val="96000"/>
              </a:schemeClr>
            </a:duotone>
          </a:blip>
          <a:tile tx="0" ty="0" sx="32000" sy="32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creener.in/excel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K93"/>
  <sheetViews>
    <sheetView zoomScale="120" zoomScaleNormal="120" zoomScalePageLayoutView="120" workbookViewId="0">
      <pane xSplit="1" ySplit="1" topLeftCell="B47" activePane="bottomRight" state="frozen"/>
      <selection activeCell="C4" sqref="C4"/>
      <selection pane="topRight" activeCell="C4" sqref="C4"/>
      <selection pane="bottomLeft" activeCell="C4" sqref="C4"/>
      <selection pane="bottomRight" activeCell="B31" sqref="B31"/>
    </sheetView>
  </sheetViews>
  <sheetFormatPr defaultColWidth="8.77734375" defaultRowHeight="14.4" x14ac:dyDescent="0.3"/>
  <cols>
    <col min="1" max="1" width="27.6640625" style="3" bestFit="1" customWidth="1"/>
    <col min="2" max="11" width="13.44140625" style="3" bestFit="1" customWidth="1"/>
    <col min="12" max="16384" width="8.77734375" style="3"/>
  </cols>
  <sheetData>
    <row r="1" spans="1:11" s="1" customFormat="1" x14ac:dyDescent="0.3">
      <c r="A1" s="1" t="s">
        <v>0</v>
      </c>
      <c r="B1" s="1" t="s">
        <v>32</v>
      </c>
      <c r="E1" s="48" t="str">
        <f>IF(B2&lt;&gt;B3, "A NEW VERSION OF THE WORKSHEET IS AVAILABLE", "")</f>
        <v/>
      </c>
      <c r="F1" s="48"/>
      <c r="G1" s="48"/>
      <c r="H1" s="48"/>
      <c r="I1" s="48"/>
      <c r="J1" s="48"/>
      <c r="K1" s="48"/>
    </row>
    <row r="2" spans="1:11" x14ac:dyDescent="0.3">
      <c r="A2" s="1" t="s">
        <v>30</v>
      </c>
      <c r="B2" s="3">
        <v>2.1</v>
      </c>
      <c r="E2" s="49" t="s">
        <v>21</v>
      </c>
      <c r="F2" s="49"/>
      <c r="G2" s="49"/>
      <c r="H2" s="49"/>
      <c r="I2" s="49"/>
      <c r="J2" s="49"/>
      <c r="K2" s="49"/>
    </row>
    <row r="3" spans="1:11" x14ac:dyDescent="0.3">
      <c r="A3" s="1" t="s">
        <v>31</v>
      </c>
      <c r="B3" s="3">
        <v>2.1</v>
      </c>
    </row>
    <row r="4" spans="1:11" x14ac:dyDescent="0.3">
      <c r="A4" s="1"/>
    </row>
    <row r="5" spans="1:11" x14ac:dyDescent="0.3">
      <c r="A5" s="1" t="s">
        <v>33</v>
      </c>
    </row>
    <row r="6" spans="1:11" x14ac:dyDescent="0.3">
      <c r="A6" s="3" t="s">
        <v>27</v>
      </c>
      <c r="B6" s="3">
        <f>IF(B9&gt;0, B9/B8, 0)</f>
        <v>1252.8172147001933</v>
      </c>
    </row>
    <row r="7" spans="1:11" x14ac:dyDescent="0.3">
      <c r="A7" s="3" t="s">
        <v>16</v>
      </c>
      <c r="B7">
        <v>1</v>
      </c>
    </row>
    <row r="8" spans="1:11" x14ac:dyDescent="0.3">
      <c r="A8" s="3" t="s">
        <v>28</v>
      </c>
      <c r="B8">
        <v>413.6</v>
      </c>
    </row>
    <row r="9" spans="1:11" x14ac:dyDescent="0.3">
      <c r="A9" s="3" t="s">
        <v>43</v>
      </c>
      <c r="B9">
        <v>518165.2</v>
      </c>
    </row>
    <row r="15" spans="1:11" x14ac:dyDescent="0.3">
      <c r="A15" s="1" t="s">
        <v>22</v>
      </c>
    </row>
    <row r="16" spans="1:11" s="7" customFormat="1" x14ac:dyDescent="0.3">
      <c r="A16" s="6" t="s">
        <v>23</v>
      </c>
      <c r="B16" s="5">
        <v>42460</v>
      </c>
      <c r="C16" s="5">
        <v>42825</v>
      </c>
      <c r="D16" s="5">
        <v>43190</v>
      </c>
      <c r="E16" s="5">
        <v>43555</v>
      </c>
      <c r="F16" s="5">
        <v>43921</v>
      </c>
      <c r="G16" s="5">
        <v>44286</v>
      </c>
      <c r="H16" s="5">
        <v>44651</v>
      </c>
      <c r="I16" s="5">
        <v>45016</v>
      </c>
      <c r="J16" s="5">
        <v>45382</v>
      </c>
      <c r="K16" s="5">
        <v>45747</v>
      </c>
    </row>
    <row r="17" spans="1:11" s="4" customFormat="1" x14ac:dyDescent="0.3">
      <c r="A17" s="4" t="s">
        <v>1</v>
      </c>
      <c r="B17">
        <v>39192.1</v>
      </c>
      <c r="C17">
        <v>42767.6</v>
      </c>
      <c r="D17">
        <v>43448.94</v>
      </c>
      <c r="E17">
        <v>48339.58</v>
      </c>
      <c r="F17">
        <v>49387.7</v>
      </c>
      <c r="G17">
        <v>49257.45</v>
      </c>
      <c r="H17">
        <v>60644.54</v>
      </c>
      <c r="I17">
        <v>70919.03</v>
      </c>
      <c r="J17">
        <v>67931.94</v>
      </c>
      <c r="K17">
        <v>75323.34</v>
      </c>
    </row>
    <row r="18" spans="1:11" s="4" customFormat="1" x14ac:dyDescent="0.3">
      <c r="A18" s="3" t="s">
        <v>44</v>
      </c>
      <c r="B18">
        <v>13763.88</v>
      </c>
      <c r="C18">
        <v>15456.59</v>
      </c>
      <c r="D18">
        <v>14827.72</v>
      </c>
      <c r="E18">
        <v>17623.52</v>
      </c>
      <c r="F18">
        <v>18048.599999999999</v>
      </c>
      <c r="G18">
        <v>20776.71</v>
      </c>
      <c r="H18">
        <v>27071.07</v>
      </c>
      <c r="I18">
        <v>29364.36</v>
      </c>
      <c r="J18">
        <v>27348.57</v>
      </c>
      <c r="K18">
        <v>32704.37</v>
      </c>
    </row>
    <row r="19" spans="1:11" s="4" customFormat="1" x14ac:dyDescent="0.3">
      <c r="A19" s="3" t="s">
        <v>45</v>
      </c>
      <c r="B19">
        <v>195.38</v>
      </c>
      <c r="C19">
        <v>-592.57000000000005</v>
      </c>
      <c r="D19">
        <v>-1027.76</v>
      </c>
      <c r="E19">
        <v>203.19</v>
      </c>
      <c r="F19">
        <v>703.13</v>
      </c>
      <c r="G19">
        <v>645.27</v>
      </c>
      <c r="H19">
        <v>686</v>
      </c>
      <c r="I19">
        <v>358.59</v>
      </c>
      <c r="J19">
        <v>367.77</v>
      </c>
      <c r="K19">
        <v>725.65</v>
      </c>
    </row>
    <row r="20" spans="1:11" s="4" customFormat="1" x14ac:dyDescent="0.3">
      <c r="A20" s="3" t="s">
        <v>46</v>
      </c>
      <c r="B20">
        <v>571.88</v>
      </c>
      <c r="C20">
        <v>584.33000000000004</v>
      </c>
      <c r="D20">
        <v>653.5</v>
      </c>
      <c r="E20">
        <v>746.73</v>
      </c>
      <c r="F20">
        <v>780.85</v>
      </c>
      <c r="G20">
        <v>699.56</v>
      </c>
      <c r="H20">
        <v>889.77</v>
      </c>
      <c r="I20">
        <v>1232.3399999999999</v>
      </c>
      <c r="J20">
        <v>952.9</v>
      </c>
      <c r="K20">
        <v>975.35</v>
      </c>
    </row>
    <row r="21" spans="1:11" s="4" customFormat="1" x14ac:dyDescent="0.3">
      <c r="A21" s="3" t="s">
        <v>47</v>
      </c>
      <c r="B21">
        <v>1581.59</v>
      </c>
      <c r="C21">
        <v>1683.9</v>
      </c>
      <c r="D21">
        <v>1697.62</v>
      </c>
      <c r="E21">
        <v>1871.01</v>
      </c>
      <c r="F21">
        <v>1908.29</v>
      </c>
      <c r="G21">
        <v>1587.18</v>
      </c>
      <c r="H21">
        <v>1887.67</v>
      </c>
      <c r="I21">
        <v>2327.8000000000002</v>
      </c>
      <c r="J21">
        <v>2183.7600000000002</v>
      </c>
      <c r="K21">
        <v>2345.36</v>
      </c>
    </row>
    <row r="22" spans="1:11" s="4" customFormat="1" x14ac:dyDescent="0.3">
      <c r="A22" s="3" t="s">
        <v>48</v>
      </c>
      <c r="B22">
        <v>3440.97</v>
      </c>
      <c r="C22">
        <v>3631.73</v>
      </c>
      <c r="D22">
        <v>3760.9</v>
      </c>
      <c r="E22">
        <v>4177.88</v>
      </c>
      <c r="F22">
        <v>4295.79</v>
      </c>
      <c r="G22">
        <v>4463.33</v>
      </c>
      <c r="H22">
        <v>4890.55</v>
      </c>
      <c r="I22">
        <v>5736.22</v>
      </c>
      <c r="J22">
        <v>5548.53</v>
      </c>
      <c r="K22">
        <v>6169.78</v>
      </c>
    </row>
    <row r="23" spans="1:11" s="4" customFormat="1" x14ac:dyDescent="0.3">
      <c r="A23" s="3" t="s">
        <v>49</v>
      </c>
      <c r="B23">
        <v>4261.78</v>
      </c>
      <c r="C23">
        <v>4179.74</v>
      </c>
      <c r="D23">
        <v>3954.87</v>
      </c>
      <c r="E23">
        <v>4546.3900000000003</v>
      </c>
      <c r="F23">
        <v>4488.63</v>
      </c>
      <c r="G23">
        <v>4236.7700000000004</v>
      </c>
      <c r="H23">
        <v>4858.38</v>
      </c>
      <c r="I23">
        <v>5604.08</v>
      </c>
      <c r="J23">
        <v>5312.45</v>
      </c>
      <c r="K23">
        <v>5793.29</v>
      </c>
    </row>
    <row r="24" spans="1:11" s="4" customFormat="1" x14ac:dyDescent="0.3">
      <c r="A24" s="3" t="s">
        <v>50</v>
      </c>
      <c r="B24">
        <v>1235.8900000000001</v>
      </c>
      <c r="C24">
        <v>1169.23</v>
      </c>
      <c r="D24">
        <v>1005.98</v>
      </c>
      <c r="E24">
        <v>1039.8499999999999</v>
      </c>
      <c r="F24">
        <v>1225.1300000000001</v>
      </c>
      <c r="G24">
        <v>1074.3900000000001</v>
      </c>
      <c r="H24">
        <v>1109.95</v>
      </c>
      <c r="I24">
        <v>1308.56</v>
      </c>
      <c r="J24">
        <v>1765.97</v>
      </c>
      <c r="K24">
        <v>2221.39</v>
      </c>
    </row>
    <row r="25" spans="1:11" s="4" customFormat="1" x14ac:dyDescent="0.3">
      <c r="A25" s="4" t="s">
        <v>4</v>
      </c>
      <c r="B25">
        <v>1483.11</v>
      </c>
      <c r="C25">
        <v>1758.63</v>
      </c>
      <c r="D25">
        <v>2239.81</v>
      </c>
      <c r="E25">
        <v>2080.44</v>
      </c>
      <c r="F25">
        <v>2417.3200000000002</v>
      </c>
      <c r="G25">
        <v>2576.9499999999998</v>
      </c>
      <c r="H25">
        <v>1909.72</v>
      </c>
      <c r="I25">
        <v>2097.64</v>
      </c>
      <c r="J25">
        <v>3330.45</v>
      </c>
      <c r="K25">
        <v>17794.88</v>
      </c>
    </row>
    <row r="26" spans="1:11" s="4" customFormat="1" x14ac:dyDescent="0.3">
      <c r="A26" s="4" t="s">
        <v>5</v>
      </c>
      <c r="B26">
        <v>1077.4000000000001</v>
      </c>
      <c r="C26">
        <v>1152.79</v>
      </c>
      <c r="D26">
        <v>1236.28</v>
      </c>
      <c r="E26">
        <v>1396.61</v>
      </c>
      <c r="F26">
        <v>1644.91</v>
      </c>
      <c r="G26">
        <v>1645.59</v>
      </c>
      <c r="H26">
        <v>1732.41</v>
      </c>
      <c r="I26">
        <v>1809.01</v>
      </c>
      <c r="J26">
        <v>1518.05</v>
      </c>
      <c r="K26">
        <v>1646.32</v>
      </c>
    </row>
    <row r="27" spans="1:11" s="4" customFormat="1" x14ac:dyDescent="0.3">
      <c r="A27" s="4" t="s">
        <v>6</v>
      </c>
      <c r="B27">
        <v>78.13</v>
      </c>
      <c r="C27">
        <v>49.03</v>
      </c>
      <c r="D27">
        <v>115.01</v>
      </c>
      <c r="E27">
        <v>71.400000000000006</v>
      </c>
      <c r="F27">
        <v>81.38</v>
      </c>
      <c r="G27">
        <v>57.97</v>
      </c>
      <c r="H27">
        <v>59.99</v>
      </c>
      <c r="I27">
        <v>77.77</v>
      </c>
      <c r="J27">
        <v>39.11</v>
      </c>
      <c r="K27">
        <v>45.06</v>
      </c>
    </row>
    <row r="28" spans="1:11" s="4" customFormat="1" x14ac:dyDescent="0.3">
      <c r="A28" s="4" t="s">
        <v>7</v>
      </c>
      <c r="B28">
        <v>14859.07</v>
      </c>
      <c r="C28">
        <v>16026.32</v>
      </c>
      <c r="D28">
        <v>17409.11</v>
      </c>
      <c r="E28">
        <v>19149.82</v>
      </c>
      <c r="F28">
        <v>20034.57</v>
      </c>
      <c r="G28">
        <v>17938.169999999998</v>
      </c>
      <c r="H28">
        <v>20740.47</v>
      </c>
      <c r="I28">
        <v>25915.119999999999</v>
      </c>
      <c r="J28">
        <v>26960.82</v>
      </c>
      <c r="K28">
        <v>41942.949999999997</v>
      </c>
    </row>
    <row r="29" spans="1:11" s="4" customFormat="1" x14ac:dyDescent="0.3">
      <c r="A29" s="4" t="s">
        <v>8</v>
      </c>
      <c r="B29">
        <v>5358.21</v>
      </c>
      <c r="C29">
        <v>5549.09</v>
      </c>
      <c r="D29">
        <v>5916.43</v>
      </c>
      <c r="E29">
        <v>6313.92</v>
      </c>
      <c r="F29">
        <v>4441.79</v>
      </c>
      <c r="G29">
        <v>4555.29</v>
      </c>
      <c r="H29">
        <v>5237.34</v>
      </c>
      <c r="I29">
        <v>6438.4</v>
      </c>
      <c r="J29">
        <v>6209.46</v>
      </c>
      <c r="K29">
        <v>6890.47</v>
      </c>
    </row>
    <row r="30" spans="1:11" s="4" customFormat="1" x14ac:dyDescent="0.3">
      <c r="A30" s="4" t="s">
        <v>9</v>
      </c>
      <c r="B30">
        <v>9344.4500000000007</v>
      </c>
      <c r="C30">
        <v>10289.44</v>
      </c>
      <c r="D30">
        <v>11271.2</v>
      </c>
      <c r="E30">
        <v>12592.33</v>
      </c>
      <c r="F30">
        <v>15306.23</v>
      </c>
      <c r="G30">
        <v>13161.19</v>
      </c>
      <c r="H30">
        <v>15242.66</v>
      </c>
      <c r="I30">
        <v>19191.66</v>
      </c>
      <c r="J30">
        <v>20458.78</v>
      </c>
      <c r="K30">
        <v>34746.629999999997</v>
      </c>
    </row>
    <row r="31" spans="1:11" s="4" customFormat="1" x14ac:dyDescent="0.3">
      <c r="A31" s="4" t="s">
        <v>34</v>
      </c>
      <c r="B31">
        <v>6840.12</v>
      </c>
      <c r="C31">
        <v>5770.02</v>
      </c>
      <c r="D31">
        <v>6285.21</v>
      </c>
      <c r="E31">
        <v>7048.7</v>
      </c>
      <c r="F31">
        <v>12476.58</v>
      </c>
      <c r="G31">
        <v>13231.96</v>
      </c>
      <c r="H31">
        <v>14171.8</v>
      </c>
      <c r="I31">
        <v>19263.400000000001</v>
      </c>
      <c r="J31">
        <v>17166.46</v>
      </c>
      <c r="K31">
        <v>17957.73</v>
      </c>
    </row>
    <row r="32" spans="1:11" s="4" customFormat="1" x14ac:dyDescent="0.3"/>
    <row r="33" spans="1:11" x14ac:dyDescent="0.3">
      <c r="A33" s="4"/>
    </row>
    <row r="34" spans="1:11" x14ac:dyDescent="0.3">
      <c r="A34" s="4"/>
    </row>
    <row r="35" spans="1:11" x14ac:dyDescent="0.3">
      <c r="A35" s="4"/>
    </row>
    <row r="36" spans="1:11" x14ac:dyDescent="0.3">
      <c r="A36" s="4"/>
    </row>
    <row r="37" spans="1:11" x14ac:dyDescent="0.3">
      <c r="A37" s="4"/>
    </row>
    <row r="38" spans="1:11" x14ac:dyDescent="0.3">
      <c r="A38" s="4"/>
    </row>
    <row r="39" spans="1:11" x14ac:dyDescent="0.3">
      <c r="A39" s="4"/>
    </row>
    <row r="40" spans="1:11" x14ac:dyDescent="0.3">
      <c r="A40" s="1" t="s">
        <v>24</v>
      </c>
    </row>
    <row r="41" spans="1:11" s="7" customFormat="1" x14ac:dyDescent="0.3">
      <c r="A41" s="6" t="s">
        <v>23</v>
      </c>
      <c r="B41" s="5">
        <v>45016</v>
      </c>
      <c r="C41" s="5">
        <v>45107</v>
      </c>
      <c r="D41" s="5">
        <v>45199</v>
      </c>
      <c r="E41" s="5">
        <v>45291</v>
      </c>
      <c r="F41" s="5">
        <v>45382</v>
      </c>
      <c r="G41" s="5">
        <v>45473</v>
      </c>
      <c r="H41" s="5">
        <v>45565</v>
      </c>
      <c r="I41" s="5">
        <v>45657</v>
      </c>
      <c r="J41" s="5">
        <v>45747</v>
      </c>
      <c r="K41" s="5">
        <v>45838</v>
      </c>
    </row>
    <row r="42" spans="1:11" s="4" customFormat="1" x14ac:dyDescent="0.3">
      <c r="A42" s="4" t="s">
        <v>1</v>
      </c>
      <c r="B42">
        <v>17634.89</v>
      </c>
      <c r="C42">
        <v>17164.46</v>
      </c>
      <c r="D42">
        <v>17774.47</v>
      </c>
      <c r="E42">
        <v>17195.240000000002</v>
      </c>
      <c r="F42">
        <v>17037.8</v>
      </c>
      <c r="G42">
        <v>17777.810000000001</v>
      </c>
      <c r="H42">
        <v>19990.36</v>
      </c>
      <c r="I42">
        <v>18790.169999999998</v>
      </c>
      <c r="J42">
        <v>18765</v>
      </c>
      <c r="K42">
        <v>21494.79</v>
      </c>
    </row>
    <row r="43" spans="1:11" s="4" customFormat="1" x14ac:dyDescent="0.3">
      <c r="A43" s="4" t="s">
        <v>2</v>
      </c>
      <c r="B43">
        <v>11010.89</v>
      </c>
      <c r="C43">
        <v>10494.39</v>
      </c>
      <c r="D43">
        <v>11320.23</v>
      </c>
      <c r="E43">
        <v>10985.01</v>
      </c>
      <c r="F43">
        <v>10735.73</v>
      </c>
      <c r="G43">
        <v>11232.97</v>
      </c>
      <c r="H43">
        <v>13438.28</v>
      </c>
      <c r="I43">
        <v>12428.27</v>
      </c>
      <c r="J43">
        <v>12245.61</v>
      </c>
      <c r="K43">
        <v>14678.32</v>
      </c>
    </row>
    <row r="44" spans="1:11" s="4" customFormat="1" x14ac:dyDescent="0.3">
      <c r="A44" s="4" t="s">
        <v>4</v>
      </c>
      <c r="B44">
        <v>682.52</v>
      </c>
      <c r="C44">
        <v>722.3</v>
      </c>
      <c r="D44">
        <v>673.5</v>
      </c>
      <c r="E44">
        <v>820.26</v>
      </c>
      <c r="F44">
        <v>868</v>
      </c>
      <c r="G44">
        <v>771.13</v>
      </c>
      <c r="H44">
        <v>690.31</v>
      </c>
      <c r="I44">
        <v>803.4</v>
      </c>
      <c r="J44">
        <v>15391.28</v>
      </c>
      <c r="K44">
        <v>750.97</v>
      </c>
    </row>
    <row r="45" spans="1:11" s="4" customFormat="1" x14ac:dyDescent="0.3">
      <c r="A45" s="4" t="s">
        <v>5</v>
      </c>
      <c r="B45">
        <v>461.4</v>
      </c>
      <c r="C45">
        <v>442.46</v>
      </c>
      <c r="D45">
        <v>453.04</v>
      </c>
      <c r="E45">
        <v>384.04</v>
      </c>
      <c r="F45">
        <v>385.09</v>
      </c>
      <c r="G45">
        <v>403.13</v>
      </c>
      <c r="H45">
        <v>416.18</v>
      </c>
      <c r="I45">
        <v>415.98</v>
      </c>
      <c r="J45">
        <v>411.03</v>
      </c>
      <c r="K45">
        <v>422.96</v>
      </c>
    </row>
    <row r="46" spans="1:11" s="4" customFormat="1" x14ac:dyDescent="0.3">
      <c r="A46" s="4" t="s">
        <v>6</v>
      </c>
      <c r="B46">
        <v>12.15</v>
      </c>
      <c r="C46">
        <v>9.9</v>
      </c>
      <c r="D46">
        <v>9.8699999999999992</v>
      </c>
      <c r="E46">
        <v>11.94</v>
      </c>
      <c r="F46">
        <v>10.72</v>
      </c>
      <c r="G46">
        <v>9.6</v>
      </c>
      <c r="H46">
        <v>14.73</v>
      </c>
      <c r="I46">
        <v>9.82</v>
      </c>
      <c r="J46">
        <v>10.91</v>
      </c>
      <c r="K46">
        <v>16.47</v>
      </c>
    </row>
    <row r="47" spans="1:11" s="4" customFormat="1" x14ac:dyDescent="0.3">
      <c r="A47" s="4" t="s">
        <v>7</v>
      </c>
      <c r="B47">
        <v>6832.97</v>
      </c>
      <c r="C47">
        <v>6940.01</v>
      </c>
      <c r="D47">
        <v>6664.83</v>
      </c>
      <c r="E47">
        <v>6634.51</v>
      </c>
      <c r="F47">
        <v>6774.26</v>
      </c>
      <c r="G47">
        <v>6903.24</v>
      </c>
      <c r="H47">
        <v>6811.48</v>
      </c>
      <c r="I47">
        <v>6739.5</v>
      </c>
      <c r="J47">
        <v>21488.73</v>
      </c>
      <c r="K47">
        <v>7128.01</v>
      </c>
    </row>
    <row r="48" spans="1:11" s="4" customFormat="1" x14ac:dyDescent="0.3">
      <c r="A48" s="4" t="s">
        <v>8</v>
      </c>
      <c r="B48">
        <v>1607.95</v>
      </c>
      <c r="C48">
        <v>1759.89</v>
      </c>
      <c r="D48">
        <v>1700.31</v>
      </c>
      <c r="E48">
        <v>1227.99</v>
      </c>
      <c r="F48">
        <v>1583.55</v>
      </c>
      <c r="G48">
        <v>1726.25</v>
      </c>
      <c r="H48">
        <v>1757.05</v>
      </c>
      <c r="I48">
        <v>1726.32</v>
      </c>
      <c r="J48">
        <v>1680.85</v>
      </c>
      <c r="K48">
        <v>1784.6</v>
      </c>
    </row>
    <row r="49" spans="1:11" s="4" customFormat="1" x14ac:dyDescent="0.3">
      <c r="A49" s="4" t="s">
        <v>9</v>
      </c>
      <c r="B49">
        <v>5175.4799999999996</v>
      </c>
      <c r="C49">
        <v>5104.93</v>
      </c>
      <c r="D49">
        <v>4898.07</v>
      </c>
      <c r="E49">
        <v>5335.23</v>
      </c>
      <c r="F49">
        <v>5120.55</v>
      </c>
      <c r="G49">
        <v>5091.59</v>
      </c>
      <c r="H49">
        <v>4992.87</v>
      </c>
      <c r="I49">
        <v>4934.8</v>
      </c>
      <c r="J49">
        <v>19727.37</v>
      </c>
      <c r="K49">
        <v>5244.2</v>
      </c>
    </row>
    <row r="50" spans="1:11" x14ac:dyDescent="0.3">
      <c r="A50" s="4" t="s">
        <v>3</v>
      </c>
      <c r="B50">
        <v>6624</v>
      </c>
      <c r="C50">
        <v>6670.07</v>
      </c>
      <c r="D50">
        <v>6454.24</v>
      </c>
      <c r="E50">
        <v>6210.23</v>
      </c>
      <c r="F50">
        <v>6302.07</v>
      </c>
      <c r="G50">
        <v>6544.84</v>
      </c>
      <c r="H50">
        <v>6552.08</v>
      </c>
      <c r="I50">
        <v>6361.9</v>
      </c>
      <c r="J50">
        <v>6519.39</v>
      </c>
      <c r="K50">
        <v>6816.47</v>
      </c>
    </row>
    <row r="51" spans="1:11" x14ac:dyDescent="0.3">
      <c r="A51" s="4"/>
    </row>
    <row r="52" spans="1:11" x14ac:dyDescent="0.3">
      <c r="A52" s="4"/>
    </row>
    <row r="53" spans="1:11" x14ac:dyDescent="0.3">
      <c r="A53" s="4"/>
    </row>
    <row r="54" spans="1:11" x14ac:dyDescent="0.3">
      <c r="A54" s="4"/>
    </row>
    <row r="55" spans="1:11" x14ac:dyDescent="0.3">
      <c r="A55" s="1" t="s">
        <v>25</v>
      </c>
    </row>
    <row r="56" spans="1:11" s="7" customFormat="1" x14ac:dyDescent="0.3">
      <c r="A56" s="6" t="s">
        <v>23</v>
      </c>
      <c r="B56" s="5">
        <v>42460</v>
      </c>
      <c r="C56" s="5">
        <v>42825</v>
      </c>
      <c r="D56" s="5">
        <v>43190</v>
      </c>
      <c r="E56" s="5">
        <v>43555</v>
      </c>
      <c r="F56" s="5">
        <v>43921</v>
      </c>
      <c r="G56" s="5">
        <v>44286</v>
      </c>
      <c r="H56" s="5">
        <v>44651</v>
      </c>
      <c r="I56" s="5">
        <v>45016</v>
      </c>
      <c r="J56" s="5">
        <v>45382</v>
      </c>
      <c r="K56" s="5">
        <v>45747</v>
      </c>
    </row>
    <row r="57" spans="1:11" x14ac:dyDescent="0.3">
      <c r="A57" s="4" t="s">
        <v>10</v>
      </c>
      <c r="B57">
        <v>804.72</v>
      </c>
      <c r="C57">
        <v>1214.74</v>
      </c>
      <c r="D57">
        <v>1220.43</v>
      </c>
      <c r="E57">
        <v>1225.8599999999999</v>
      </c>
      <c r="F57">
        <v>1229.22</v>
      </c>
      <c r="G57">
        <v>1230.8800000000001</v>
      </c>
      <c r="H57">
        <v>1232.33</v>
      </c>
      <c r="I57">
        <v>1242.8</v>
      </c>
      <c r="J57">
        <v>1248.47</v>
      </c>
      <c r="K57">
        <v>1251.4100000000001</v>
      </c>
    </row>
    <row r="58" spans="1:11" x14ac:dyDescent="0.3">
      <c r="A58" s="4" t="s">
        <v>11</v>
      </c>
      <c r="B58">
        <v>41874.800000000003</v>
      </c>
      <c r="C58">
        <v>45198.19</v>
      </c>
      <c r="D58">
        <v>51289.68</v>
      </c>
      <c r="E58">
        <v>57915.01</v>
      </c>
      <c r="F58">
        <v>64044.04</v>
      </c>
      <c r="G58">
        <v>59116.46</v>
      </c>
      <c r="H58">
        <v>61223.24</v>
      </c>
      <c r="I58">
        <v>67912.460000000006</v>
      </c>
      <c r="J58">
        <v>73258.53</v>
      </c>
      <c r="K58">
        <v>68778.64</v>
      </c>
    </row>
    <row r="59" spans="1:11" x14ac:dyDescent="0.3">
      <c r="A59" s="4" t="s">
        <v>35</v>
      </c>
      <c r="B59">
        <v>83.78</v>
      </c>
      <c r="C59">
        <v>45.72</v>
      </c>
      <c r="D59">
        <v>35.92</v>
      </c>
      <c r="E59">
        <v>13.44</v>
      </c>
      <c r="F59">
        <v>277.45</v>
      </c>
      <c r="G59">
        <v>270.83</v>
      </c>
      <c r="H59">
        <v>249.44</v>
      </c>
      <c r="I59">
        <v>306.04000000000002</v>
      </c>
      <c r="J59">
        <v>303.43</v>
      </c>
      <c r="K59">
        <v>284.54000000000002</v>
      </c>
    </row>
    <row r="60" spans="1:11" x14ac:dyDescent="0.3">
      <c r="A60" s="4" t="s">
        <v>36</v>
      </c>
      <c r="B60">
        <v>8888.0400000000009</v>
      </c>
      <c r="C60">
        <v>9439.67</v>
      </c>
      <c r="D60">
        <v>11694.85</v>
      </c>
      <c r="E60">
        <v>12584.73</v>
      </c>
      <c r="F60">
        <v>11760.04</v>
      </c>
      <c r="G60">
        <v>13142.59</v>
      </c>
      <c r="H60">
        <v>14491.01</v>
      </c>
      <c r="I60">
        <v>16369.66</v>
      </c>
      <c r="J60">
        <v>16943.54</v>
      </c>
      <c r="K60">
        <v>17688.11</v>
      </c>
    </row>
    <row r="61" spans="1:11" s="1" customFormat="1" x14ac:dyDescent="0.3">
      <c r="A61" s="1" t="s">
        <v>12</v>
      </c>
      <c r="B61">
        <v>51651.34</v>
      </c>
      <c r="C61">
        <v>55898.32</v>
      </c>
      <c r="D61">
        <v>64240.88</v>
      </c>
      <c r="E61">
        <v>71739.039999999994</v>
      </c>
      <c r="F61">
        <v>77310.75</v>
      </c>
      <c r="G61">
        <v>73760.759999999995</v>
      </c>
      <c r="H61">
        <v>77196.02</v>
      </c>
      <c r="I61">
        <v>85830.96</v>
      </c>
      <c r="J61">
        <v>91753.97</v>
      </c>
      <c r="K61">
        <v>88002.7</v>
      </c>
    </row>
    <row r="62" spans="1:11" x14ac:dyDescent="0.3">
      <c r="A62" s="4" t="s">
        <v>13</v>
      </c>
      <c r="B62">
        <v>15106.63</v>
      </c>
      <c r="C62">
        <v>15893.48</v>
      </c>
      <c r="D62">
        <v>16523.96</v>
      </c>
      <c r="E62">
        <v>19374.189999999999</v>
      </c>
      <c r="F62">
        <v>21713.34</v>
      </c>
      <c r="G62">
        <v>23298.48</v>
      </c>
      <c r="H62">
        <v>24231.59</v>
      </c>
      <c r="I62">
        <v>25851.27</v>
      </c>
      <c r="J62">
        <v>27820.22</v>
      </c>
      <c r="K62">
        <v>21954.85</v>
      </c>
    </row>
    <row r="63" spans="1:11" x14ac:dyDescent="0.3">
      <c r="A63" s="4" t="s">
        <v>14</v>
      </c>
      <c r="B63">
        <v>2559.7199999999998</v>
      </c>
      <c r="C63">
        <v>3729.89</v>
      </c>
      <c r="D63">
        <v>5508.33</v>
      </c>
      <c r="E63">
        <v>4136.42</v>
      </c>
      <c r="F63">
        <v>3256.46</v>
      </c>
      <c r="G63">
        <v>4011.29</v>
      </c>
      <c r="H63">
        <v>3225.54</v>
      </c>
      <c r="I63">
        <v>3003.3</v>
      </c>
      <c r="J63">
        <v>2860.78</v>
      </c>
      <c r="K63">
        <v>1090.9100000000001</v>
      </c>
    </row>
    <row r="64" spans="1:11" x14ac:dyDescent="0.3">
      <c r="A64" s="4" t="s">
        <v>15</v>
      </c>
      <c r="B64">
        <v>11747.59</v>
      </c>
      <c r="C64">
        <v>17581.38</v>
      </c>
      <c r="D64">
        <v>22052.86</v>
      </c>
      <c r="E64">
        <v>25043.49</v>
      </c>
      <c r="F64">
        <v>28663.35</v>
      </c>
      <c r="G64">
        <v>24870.87</v>
      </c>
      <c r="H64">
        <v>24841.01</v>
      </c>
      <c r="I64">
        <v>29415.02</v>
      </c>
      <c r="J64">
        <v>31114.02</v>
      </c>
      <c r="K64">
        <v>34719.82</v>
      </c>
    </row>
    <row r="65" spans="1:11" x14ac:dyDescent="0.3">
      <c r="A65" s="4" t="s">
        <v>37</v>
      </c>
      <c r="B65">
        <v>22237.4</v>
      </c>
      <c r="C65">
        <v>18693.57</v>
      </c>
      <c r="D65">
        <v>20155.73</v>
      </c>
      <c r="E65">
        <v>23184.94</v>
      </c>
      <c r="F65">
        <v>23677.599999999999</v>
      </c>
      <c r="G65">
        <v>21580.12</v>
      </c>
      <c r="H65">
        <v>24897.88</v>
      </c>
      <c r="I65">
        <v>27561.37</v>
      </c>
      <c r="J65">
        <v>29958.95</v>
      </c>
      <c r="K65">
        <v>30237.119999999999</v>
      </c>
    </row>
    <row r="66" spans="1:11" s="1" customFormat="1" x14ac:dyDescent="0.3">
      <c r="A66" s="1" t="s">
        <v>12</v>
      </c>
      <c r="B66">
        <v>51651.34</v>
      </c>
      <c r="C66">
        <v>55898.32</v>
      </c>
      <c r="D66">
        <v>64240.88</v>
      </c>
      <c r="E66">
        <v>71739.039999999994</v>
      </c>
      <c r="F66">
        <v>77310.75</v>
      </c>
      <c r="G66">
        <v>73760.759999999995</v>
      </c>
      <c r="H66">
        <v>77196.02</v>
      </c>
      <c r="I66">
        <v>85830.96</v>
      </c>
      <c r="J66">
        <v>91753.97</v>
      </c>
      <c r="K66">
        <v>88002.7</v>
      </c>
    </row>
    <row r="67" spans="1:11" s="4" customFormat="1" x14ac:dyDescent="0.3">
      <c r="A67" s="4" t="s">
        <v>42</v>
      </c>
      <c r="B67">
        <v>1917.18</v>
      </c>
      <c r="C67">
        <v>2474.29</v>
      </c>
      <c r="D67">
        <v>2682.29</v>
      </c>
      <c r="E67">
        <v>4035.28</v>
      </c>
      <c r="F67">
        <v>2562.48</v>
      </c>
      <c r="G67">
        <v>2501.6999999999998</v>
      </c>
      <c r="H67">
        <v>2461.9</v>
      </c>
      <c r="I67">
        <v>2956.17</v>
      </c>
      <c r="J67">
        <v>4025.82</v>
      </c>
      <c r="K67">
        <v>4719.67</v>
      </c>
    </row>
    <row r="68" spans="1:11" x14ac:dyDescent="0.3">
      <c r="A68" s="4" t="s">
        <v>29</v>
      </c>
      <c r="B68">
        <v>9062.1</v>
      </c>
      <c r="C68">
        <v>8116.1</v>
      </c>
      <c r="D68">
        <v>7495.09</v>
      </c>
      <c r="E68">
        <v>7859.56</v>
      </c>
      <c r="F68">
        <v>8879.33</v>
      </c>
      <c r="G68">
        <v>10397.16</v>
      </c>
      <c r="H68">
        <v>10864.15</v>
      </c>
      <c r="I68">
        <v>11771.16</v>
      </c>
      <c r="J68">
        <v>14152.88</v>
      </c>
      <c r="K68">
        <v>15637.56</v>
      </c>
    </row>
    <row r="69" spans="1:11" x14ac:dyDescent="0.3">
      <c r="A69" s="3" t="s">
        <v>51</v>
      </c>
      <c r="B69">
        <v>6063.3</v>
      </c>
      <c r="C69">
        <v>2967.4</v>
      </c>
      <c r="D69">
        <v>2899.6</v>
      </c>
      <c r="E69">
        <v>4152.03</v>
      </c>
      <c r="F69">
        <v>7277.34</v>
      </c>
      <c r="G69">
        <v>4659.0200000000004</v>
      </c>
      <c r="H69">
        <v>4654.42</v>
      </c>
      <c r="I69">
        <v>4880.1899999999996</v>
      </c>
      <c r="J69">
        <v>7217.68</v>
      </c>
      <c r="K69">
        <v>4012.36</v>
      </c>
    </row>
    <row r="70" spans="1:11" x14ac:dyDescent="0.3">
      <c r="A70" s="3" t="s">
        <v>38</v>
      </c>
      <c r="B70">
        <v>8047206991</v>
      </c>
      <c r="C70">
        <v>12147383071</v>
      </c>
      <c r="D70">
        <v>12204294911</v>
      </c>
      <c r="E70">
        <v>12258631601</v>
      </c>
      <c r="F70">
        <v>12292231241</v>
      </c>
      <c r="G70">
        <v>12308844231</v>
      </c>
      <c r="H70">
        <v>12323255931</v>
      </c>
      <c r="I70">
        <v>12428017741</v>
      </c>
      <c r="J70">
        <v>12484700000</v>
      </c>
      <c r="K70">
        <v>12514119781</v>
      </c>
    </row>
    <row r="71" spans="1:11" x14ac:dyDescent="0.3">
      <c r="A71" s="3" t="s">
        <v>39</v>
      </c>
      <c r="C71">
        <v>4026657100</v>
      </c>
    </row>
    <row r="72" spans="1:11" x14ac:dyDescent="0.3">
      <c r="A72" s="3" t="s">
        <v>52</v>
      </c>
      <c r="B72">
        <v>1</v>
      </c>
      <c r="C72">
        <v>1</v>
      </c>
      <c r="D72">
        <v>1</v>
      </c>
      <c r="E72">
        <v>1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</row>
    <row r="74" spans="1:11" x14ac:dyDescent="0.3">
      <c r="A74" s="4"/>
    </row>
    <row r="75" spans="1:11" x14ac:dyDescent="0.3">
      <c r="A75" s="4"/>
    </row>
    <row r="76" spans="1:11" x14ac:dyDescent="0.3">
      <c r="A76" s="4"/>
    </row>
    <row r="77" spans="1:11" x14ac:dyDescent="0.3">
      <c r="A77" s="4"/>
    </row>
    <row r="78" spans="1:11" x14ac:dyDescent="0.3">
      <c r="A78" s="4"/>
    </row>
    <row r="79" spans="1:11" x14ac:dyDescent="0.3">
      <c r="A79" s="4"/>
    </row>
    <row r="80" spans="1:11" x14ac:dyDescent="0.3">
      <c r="A80" s="1" t="s">
        <v>26</v>
      </c>
    </row>
    <row r="81" spans="1:11" s="7" customFormat="1" x14ac:dyDescent="0.3">
      <c r="A81" s="6" t="s">
        <v>23</v>
      </c>
      <c r="B81" s="5">
        <v>42460</v>
      </c>
      <c r="C81" s="5">
        <v>42825</v>
      </c>
      <c r="D81" s="5">
        <v>43190</v>
      </c>
      <c r="E81" s="5">
        <v>43555</v>
      </c>
      <c r="F81" s="5">
        <v>43921</v>
      </c>
      <c r="G81" s="5">
        <v>44286</v>
      </c>
      <c r="H81" s="5">
        <v>44651</v>
      </c>
      <c r="I81" s="5">
        <v>45016</v>
      </c>
      <c r="J81" s="5">
        <v>45382</v>
      </c>
      <c r="K81" s="5">
        <v>45747</v>
      </c>
    </row>
    <row r="82" spans="1:11" s="1" customFormat="1" x14ac:dyDescent="0.3">
      <c r="A82" s="4" t="s">
        <v>17</v>
      </c>
      <c r="B82">
        <v>9799.0400000000009</v>
      </c>
      <c r="C82">
        <v>10627.31</v>
      </c>
      <c r="D82">
        <v>13169.4</v>
      </c>
      <c r="E82">
        <v>12583.41</v>
      </c>
      <c r="F82">
        <v>14689.66</v>
      </c>
      <c r="G82">
        <v>12526.97</v>
      </c>
      <c r="H82">
        <v>15775.51</v>
      </c>
      <c r="I82">
        <v>18877.55</v>
      </c>
      <c r="J82">
        <v>17178.86</v>
      </c>
      <c r="K82">
        <v>17627.04</v>
      </c>
    </row>
    <row r="83" spans="1:11" s="4" customFormat="1" x14ac:dyDescent="0.3">
      <c r="A83" s="4" t="s">
        <v>18</v>
      </c>
      <c r="B83">
        <v>-3920.73</v>
      </c>
      <c r="C83">
        <v>-3250.93</v>
      </c>
      <c r="D83">
        <v>-7113.89</v>
      </c>
      <c r="E83">
        <v>-5545.68</v>
      </c>
      <c r="F83">
        <v>-6174.02</v>
      </c>
      <c r="G83">
        <v>5739.98</v>
      </c>
      <c r="H83">
        <v>-2238.4899999999998</v>
      </c>
      <c r="I83">
        <v>-5732.29</v>
      </c>
      <c r="J83">
        <v>1562.77</v>
      </c>
      <c r="K83">
        <v>-563.84</v>
      </c>
    </row>
    <row r="84" spans="1:11" s="4" customFormat="1" x14ac:dyDescent="0.3">
      <c r="A84" s="4" t="s">
        <v>19</v>
      </c>
      <c r="B84">
        <v>-5612.52</v>
      </c>
      <c r="C84">
        <v>-7301.03</v>
      </c>
      <c r="D84">
        <v>-6221.13</v>
      </c>
      <c r="E84">
        <v>-6868.64</v>
      </c>
      <c r="F84">
        <v>-8181.48</v>
      </c>
      <c r="G84">
        <v>-18633.830000000002</v>
      </c>
      <c r="H84">
        <v>-13580.5</v>
      </c>
      <c r="I84">
        <v>-13006.03</v>
      </c>
      <c r="J84">
        <v>-18550.96</v>
      </c>
      <c r="K84">
        <v>-17037.400000000001</v>
      </c>
    </row>
    <row r="85" spans="1:11" s="1" customFormat="1" x14ac:dyDescent="0.3">
      <c r="A85" s="4" t="s">
        <v>20</v>
      </c>
      <c r="B85">
        <v>265.79000000000002</v>
      </c>
      <c r="C85">
        <v>75.349999999999994</v>
      </c>
      <c r="D85">
        <v>-165.62</v>
      </c>
      <c r="E85">
        <v>169.09</v>
      </c>
      <c r="F85">
        <v>334.16</v>
      </c>
      <c r="G85">
        <v>-366.88</v>
      </c>
      <c r="H85">
        <v>-43.48</v>
      </c>
      <c r="I85">
        <v>139.22999999999999</v>
      </c>
      <c r="J85">
        <v>190.67</v>
      </c>
      <c r="K85">
        <v>25.8</v>
      </c>
    </row>
    <row r="86" spans="1:11" x14ac:dyDescent="0.3">
      <c r="A86" s="4"/>
    </row>
    <row r="87" spans="1:11" x14ac:dyDescent="0.3">
      <c r="A87" s="4"/>
    </row>
    <row r="88" spans="1:11" x14ac:dyDescent="0.3">
      <c r="A88" s="4"/>
    </row>
    <row r="89" spans="1:11" x14ac:dyDescent="0.3">
      <c r="A89" s="4"/>
    </row>
    <row r="90" spans="1:11" s="1" customFormat="1" x14ac:dyDescent="0.3">
      <c r="A90" s="1" t="s">
        <v>41</v>
      </c>
      <c r="B90">
        <v>205.13</v>
      </c>
      <c r="C90">
        <v>262.75</v>
      </c>
      <c r="D90">
        <v>239.5</v>
      </c>
      <c r="E90">
        <v>278.64</v>
      </c>
      <c r="F90">
        <v>160.94999999999999</v>
      </c>
      <c r="G90">
        <v>204.82</v>
      </c>
      <c r="H90">
        <v>234.96</v>
      </c>
      <c r="I90">
        <v>359.49</v>
      </c>
      <c r="J90">
        <v>401.53</v>
      </c>
      <c r="K90">
        <v>409.75</v>
      </c>
    </row>
    <row r="92" spans="1:11" s="1" customFormat="1" x14ac:dyDescent="0.3">
      <c r="A92" s="1" t="s">
        <v>40</v>
      </c>
    </row>
    <row r="93" spans="1:11" x14ac:dyDescent="0.3">
      <c r="A93" s="3" t="s">
        <v>53</v>
      </c>
      <c r="B93" s="8">
        <v>1207.08</v>
      </c>
      <c r="C93" s="8">
        <v>1214.74</v>
      </c>
      <c r="D93" s="8">
        <v>1220.43</v>
      </c>
      <c r="E93" s="8">
        <v>1225.8599999999999</v>
      </c>
      <c r="F93" s="8">
        <v>1229.22</v>
      </c>
      <c r="G93" s="8">
        <v>1230.8800000000001</v>
      </c>
      <c r="H93" s="8">
        <v>1232.33</v>
      </c>
      <c r="I93" s="8">
        <v>1242.8</v>
      </c>
      <c r="J93" s="8">
        <v>1248.47</v>
      </c>
      <c r="K93" s="8">
        <v>1251.4100000000001</v>
      </c>
    </row>
  </sheetData>
  <mergeCells count="2">
    <mergeCell ref="E1:K1"/>
    <mergeCell ref="E2:K2"/>
  </mergeCells>
  <conditionalFormatting sqref="E1:K1">
    <cfRule type="cellIs" dxfId="0" priority="1" operator="notEqual">
      <formula>""</formula>
    </cfRule>
  </conditionalFormatting>
  <hyperlinks>
    <hyperlink ref="E1:K1" r:id="rId1" display="https://www.screener.in/excel/" xr:uid="{00000000-0004-0000-05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802CE-41F2-4021-9ED7-B2B7C7E15457}">
  <dimension ref="A2:M84"/>
  <sheetViews>
    <sheetView showGridLines="0" zoomScale="118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C7" sqref="C7"/>
    </sheetView>
  </sheetViews>
  <sheetFormatPr defaultRowHeight="14.4" x14ac:dyDescent="0.3"/>
  <cols>
    <col min="1" max="1" width="2.33203125" customWidth="1"/>
    <col min="2" max="2" width="28.44140625" customWidth="1"/>
    <col min="3" max="13" width="11.21875" customWidth="1"/>
  </cols>
  <sheetData>
    <row r="2" spans="1:13" ht="18" x14ac:dyDescent="0.35">
      <c r="B2" s="50" t="str">
        <f>"Financial Statement of - "&amp;'Data Sheet'!B1</f>
        <v>Financial Statement of - ITC LTD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</row>
    <row r="3" spans="1:13" x14ac:dyDescent="0.3">
      <c r="B3" s="9" t="s">
        <v>54</v>
      </c>
      <c r="C3" s="10">
        <f>'Data Sheet'!B16</f>
        <v>42460</v>
      </c>
      <c r="D3" s="10">
        <f>'Data Sheet'!C16</f>
        <v>42825</v>
      </c>
      <c r="E3" s="10">
        <f>'Data Sheet'!D16</f>
        <v>43190</v>
      </c>
      <c r="F3" s="10">
        <f>'Data Sheet'!E16</f>
        <v>43555</v>
      </c>
      <c r="G3" s="10">
        <f>'Data Sheet'!F16</f>
        <v>43921</v>
      </c>
      <c r="H3" s="10">
        <f>'Data Sheet'!G16</f>
        <v>44286</v>
      </c>
      <c r="I3" s="10">
        <f>'Data Sheet'!H16</f>
        <v>44651</v>
      </c>
      <c r="J3" s="10">
        <f>'Data Sheet'!I16</f>
        <v>45016</v>
      </c>
      <c r="K3" s="10">
        <f>'Data Sheet'!J16</f>
        <v>45382</v>
      </c>
      <c r="L3" s="10">
        <f>'Data Sheet'!K16</f>
        <v>45747</v>
      </c>
      <c r="M3" s="11" t="s">
        <v>55</v>
      </c>
    </row>
    <row r="4" spans="1:13" x14ac:dyDescent="0.3">
      <c r="B4" s="12" t="s">
        <v>56</v>
      </c>
    </row>
    <row r="5" spans="1:13" x14ac:dyDescent="0.3">
      <c r="A5" t="s">
        <v>57</v>
      </c>
      <c r="B5" s="13" t="s">
        <v>58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</row>
    <row r="7" spans="1:13" x14ac:dyDescent="0.3">
      <c r="B7" t="s">
        <v>1</v>
      </c>
      <c r="C7" s="17">
        <f>IFERROR('Data Sheet'!B17,"-")</f>
        <v>39192.1</v>
      </c>
      <c r="D7" s="17">
        <f>IFERROR('Data Sheet'!C17,"-")</f>
        <v>42767.6</v>
      </c>
      <c r="E7" s="17">
        <f>IFERROR('Data Sheet'!D17,"-")</f>
        <v>43448.94</v>
      </c>
      <c r="F7" s="17">
        <f>IFERROR('Data Sheet'!E17,"-")</f>
        <v>48339.58</v>
      </c>
      <c r="G7" s="17">
        <f>IFERROR('Data Sheet'!F17,"-")</f>
        <v>49387.7</v>
      </c>
      <c r="H7" s="17">
        <f>IFERROR('Data Sheet'!G17,"-")</f>
        <v>49257.45</v>
      </c>
      <c r="I7" s="17">
        <f>IFERROR('Data Sheet'!H17,"-")</f>
        <v>60644.54</v>
      </c>
      <c r="J7" s="17">
        <f>IFERROR('Data Sheet'!I17,"-")</f>
        <v>70919.03</v>
      </c>
      <c r="K7" s="17">
        <f>IFERROR('Data Sheet'!J17,"-")</f>
        <v>67931.94</v>
      </c>
      <c r="L7" s="17">
        <f>IFERROR('Data Sheet'!K17,"-")</f>
        <v>75323.34</v>
      </c>
      <c r="M7" s="17">
        <f>IFERROR(SUM('Data Sheet'!H42:K42),"-")</f>
        <v>79040.320000000007</v>
      </c>
    </row>
    <row r="8" spans="1:13" x14ac:dyDescent="0.3">
      <c r="B8" s="19" t="s">
        <v>59</v>
      </c>
      <c r="C8" s="20" t="str">
        <f>IFERROR(C7/B7-1,"-")</f>
        <v>-</v>
      </c>
      <c r="D8" s="59">
        <f t="shared" ref="D8:L8" si="0">IFERROR(D7/C7-1,"-")</f>
        <v>9.1230120355888067E-2</v>
      </c>
      <c r="E8" s="59">
        <f t="shared" ref="E8" si="1">IFERROR(E7/D7-1,"-")</f>
        <v>1.5931218960147486E-2</v>
      </c>
      <c r="F8" s="59">
        <f t="shared" ref="F8" si="2">IFERROR(F7/E7-1,"-")</f>
        <v>0.11256062863673999</v>
      </c>
      <c r="G8" s="59">
        <f t="shared" ref="G8" si="3">IFERROR(G7/F7-1,"-")</f>
        <v>2.1682439110972673E-2</v>
      </c>
      <c r="H8" s="59">
        <f t="shared" ref="H8" si="4">IFERROR(H7/G7-1,"-")</f>
        <v>-2.6372963308678443E-3</v>
      </c>
      <c r="I8" s="59">
        <f t="shared" ref="I8" si="5">IFERROR(I7/H7-1,"-")</f>
        <v>0.23117497962237188</v>
      </c>
      <c r="J8" s="59">
        <f t="shared" ref="J8" si="6">IFERROR(J7/I7-1,"-")</f>
        <v>0.1694215175842706</v>
      </c>
      <c r="K8" s="59">
        <f t="shared" ref="K8" si="7">IFERROR(K7/J7-1,"-")</f>
        <v>-4.2119724423754779E-2</v>
      </c>
      <c r="L8" s="59">
        <f t="shared" ref="L8" si="8">IFERROR(L7/K7-1,"-")</f>
        <v>0.10880596078957838</v>
      </c>
      <c r="M8" s="59">
        <f t="shared" ref="M8" si="9">IFERROR(M7/L7-1,"-")</f>
        <v>4.9346988596097985E-2</v>
      </c>
    </row>
    <row r="10" spans="1:13" x14ac:dyDescent="0.3">
      <c r="B10" t="s">
        <v>62</v>
      </c>
      <c r="C10" s="17">
        <f>IFERROR(SUM('Data Sheet'!B18,'Data Sheet'!B20:B22)-1*'Data Sheet'!B19,"-")</f>
        <v>19162.939999999999</v>
      </c>
      <c r="D10" s="17">
        <f>IFERROR(SUM('Data Sheet'!C18,'Data Sheet'!C20:C22)-1*'Data Sheet'!C19,"-")</f>
        <v>21949.119999999999</v>
      </c>
      <c r="E10" s="17">
        <f>IFERROR(SUM('Data Sheet'!D18,'Data Sheet'!D20:D22)-1*'Data Sheet'!D19,"-")</f>
        <v>21967.5</v>
      </c>
      <c r="F10" s="17">
        <f>IFERROR(SUM('Data Sheet'!E18,'Data Sheet'!E20:E22)-1*'Data Sheet'!E19,"-")</f>
        <v>24215.95</v>
      </c>
      <c r="G10" s="17">
        <f>IFERROR(SUM('Data Sheet'!F18,'Data Sheet'!F20:F22)-1*'Data Sheet'!F19,"-")</f>
        <v>24330.399999999998</v>
      </c>
      <c r="H10" s="17">
        <f>IFERROR(SUM('Data Sheet'!G18,'Data Sheet'!G20:G22)-1*'Data Sheet'!G19,"-")</f>
        <v>26881.51</v>
      </c>
      <c r="I10" s="17">
        <f>IFERROR(SUM('Data Sheet'!H18,'Data Sheet'!H20:H22)-1*'Data Sheet'!H19,"-")</f>
        <v>34053.060000000005</v>
      </c>
      <c r="J10" s="17">
        <f>IFERROR(SUM('Data Sheet'!I18,'Data Sheet'!I20:I22)-1*'Data Sheet'!I19,"-")</f>
        <v>38302.130000000005</v>
      </c>
      <c r="K10" s="17">
        <f>IFERROR(SUM('Data Sheet'!J18,'Data Sheet'!J20:J22)-1*'Data Sheet'!J19,"-")</f>
        <v>35665.990000000005</v>
      </c>
      <c r="L10" s="17">
        <f>IFERROR(SUM('Data Sheet'!K18,'Data Sheet'!K20:K22)-1*'Data Sheet'!K19,"-")</f>
        <v>41469.21</v>
      </c>
      <c r="M10" s="17">
        <f>IFERROR(SUM('Data Sheet'!H43:K43),"-")</f>
        <v>52790.48</v>
      </c>
    </row>
    <row r="11" spans="1:13" x14ac:dyDescent="0.3">
      <c r="B11" s="19" t="s">
        <v>60</v>
      </c>
      <c r="C11" s="59">
        <f>IFERROR(C10/C7,"-")</f>
        <v>0.48894904840516329</v>
      </c>
      <c r="D11" s="59">
        <f t="shared" ref="D11:M11" si="10">IFERROR(D10/D7,"-")</f>
        <v>0.51321841768067411</v>
      </c>
      <c r="E11" s="59">
        <f t="shared" si="10"/>
        <v>0.50559346211898382</v>
      </c>
      <c r="F11" s="59">
        <f t="shared" si="10"/>
        <v>0.50095491106873502</v>
      </c>
      <c r="G11" s="59">
        <f t="shared" si="10"/>
        <v>0.49264088021916386</v>
      </c>
      <c r="H11" s="59">
        <f t="shared" si="10"/>
        <v>0.54573490913557243</v>
      </c>
      <c r="I11" s="59">
        <f t="shared" si="10"/>
        <v>0.56151897598695621</v>
      </c>
      <c r="J11" s="59">
        <f t="shared" si="10"/>
        <v>0.54008254202010386</v>
      </c>
      <c r="K11" s="59">
        <f t="shared" si="10"/>
        <v>0.52502534154037117</v>
      </c>
      <c r="L11" s="59">
        <f t="shared" si="10"/>
        <v>0.55054927197864567</v>
      </c>
      <c r="M11" s="59">
        <f t="shared" si="10"/>
        <v>0.66789304496742929</v>
      </c>
    </row>
    <row r="13" spans="1:13" ht="15" thickBot="1" x14ac:dyDescent="0.35">
      <c r="B13" s="14" t="s">
        <v>61</v>
      </c>
      <c r="C13" s="22">
        <f>IFERROR(C7-C10,"-")</f>
        <v>20029.16</v>
      </c>
      <c r="D13" s="22">
        <f t="shared" ref="D13:M13" si="11">IFERROR(D7-D10,"-")</f>
        <v>20818.48</v>
      </c>
      <c r="E13" s="22">
        <f t="shared" si="11"/>
        <v>21481.440000000002</v>
      </c>
      <c r="F13" s="22">
        <f t="shared" si="11"/>
        <v>24123.63</v>
      </c>
      <c r="G13" s="22">
        <f t="shared" si="11"/>
        <v>25057.3</v>
      </c>
      <c r="H13" s="22">
        <f t="shared" si="11"/>
        <v>22375.94</v>
      </c>
      <c r="I13" s="22">
        <f t="shared" si="11"/>
        <v>26591.479999999996</v>
      </c>
      <c r="J13" s="22">
        <f t="shared" si="11"/>
        <v>32616.899999999994</v>
      </c>
      <c r="K13" s="22">
        <f t="shared" si="11"/>
        <v>32265.949999999997</v>
      </c>
      <c r="L13" s="22">
        <f t="shared" si="11"/>
        <v>33854.129999999997</v>
      </c>
      <c r="M13" s="22">
        <f t="shared" si="11"/>
        <v>26249.840000000004</v>
      </c>
    </row>
    <row r="14" spans="1:13" ht="15" thickTop="1" x14ac:dyDescent="0.3">
      <c r="B14" s="19" t="s">
        <v>60</v>
      </c>
      <c r="C14" s="59">
        <f>IFERROR(C13/C7,"-")</f>
        <v>0.51105095159483671</v>
      </c>
      <c r="D14" s="59">
        <f t="shared" ref="D14:L14" si="12">IFERROR(D13/D7,"-")</f>
        <v>0.48678158231932583</v>
      </c>
      <c r="E14" s="59">
        <f t="shared" si="12"/>
        <v>0.49440653788101624</v>
      </c>
      <c r="F14" s="59">
        <f t="shared" si="12"/>
        <v>0.49904508893126504</v>
      </c>
      <c r="G14" s="59">
        <f t="shared" si="12"/>
        <v>0.50735911978083614</v>
      </c>
      <c r="H14" s="59">
        <f t="shared" si="12"/>
        <v>0.45426509086442762</v>
      </c>
      <c r="I14" s="59">
        <f t="shared" si="12"/>
        <v>0.43848102401304379</v>
      </c>
      <c r="J14" s="59">
        <f t="shared" si="12"/>
        <v>0.45991745797989614</v>
      </c>
      <c r="K14" s="59">
        <f t="shared" si="12"/>
        <v>0.47497465845962877</v>
      </c>
      <c r="L14" s="59">
        <f t="shared" si="12"/>
        <v>0.44945072802135433</v>
      </c>
      <c r="M14" s="59">
        <f>IFERROR(M13/M7,"-")</f>
        <v>0.33210695503257076</v>
      </c>
    </row>
    <row r="16" spans="1:13" x14ac:dyDescent="0.3">
      <c r="B16" t="s">
        <v>63</v>
      </c>
      <c r="C16" s="17">
        <f>IFERROR('Data Sheet'!B23,"-")</f>
        <v>4261.78</v>
      </c>
      <c r="D16" s="17">
        <f>'Data Sheet'!C23</f>
        <v>4179.74</v>
      </c>
      <c r="E16" s="17">
        <f>'Data Sheet'!D23</f>
        <v>3954.87</v>
      </c>
      <c r="F16" s="17">
        <f>'Data Sheet'!E23</f>
        <v>4546.3900000000003</v>
      </c>
      <c r="G16" s="17">
        <f>'Data Sheet'!F23</f>
        <v>4488.63</v>
      </c>
      <c r="H16" s="17">
        <f>'Data Sheet'!G23</f>
        <v>4236.7700000000004</v>
      </c>
      <c r="I16" s="17">
        <f>'Data Sheet'!H23</f>
        <v>4858.38</v>
      </c>
      <c r="J16" s="17">
        <f>'Data Sheet'!I23</f>
        <v>5604.08</v>
      </c>
      <c r="K16" s="17">
        <f>'Data Sheet'!J23</f>
        <v>5312.45</v>
      </c>
      <c r="L16" s="17">
        <f>'Data Sheet'!K23</f>
        <v>5793.29</v>
      </c>
      <c r="M16" s="17"/>
    </row>
    <row r="17" spans="2:13" x14ac:dyDescent="0.3">
      <c r="B17" s="19" t="s">
        <v>60</v>
      </c>
      <c r="C17" s="59">
        <f>IFERROR(C16/C7,"-")</f>
        <v>0.10874079214943828</v>
      </c>
      <c r="D17" s="59">
        <f t="shared" ref="D17:L17" si="13">IFERROR(D16/D7,"-")</f>
        <v>9.7731460264312231E-2</v>
      </c>
      <c r="E17" s="59">
        <f t="shared" si="13"/>
        <v>9.1023394356686257E-2</v>
      </c>
      <c r="F17" s="59">
        <f t="shared" si="13"/>
        <v>9.4051086087218794E-2</v>
      </c>
      <c r="G17" s="59">
        <f t="shared" si="13"/>
        <v>9.088558487234677E-2</v>
      </c>
      <c r="H17" s="59">
        <f t="shared" si="13"/>
        <v>8.6012775732401917E-2</v>
      </c>
      <c r="I17" s="59">
        <f t="shared" si="13"/>
        <v>8.0112405832412942E-2</v>
      </c>
      <c r="J17" s="59">
        <f t="shared" si="13"/>
        <v>7.9020821350771431E-2</v>
      </c>
      <c r="K17" s="59">
        <f t="shared" si="13"/>
        <v>7.8202536244364573E-2</v>
      </c>
      <c r="L17" s="59">
        <f t="shared" si="13"/>
        <v>7.691228243463448E-2</v>
      </c>
      <c r="M17" s="16" t="s">
        <v>70</v>
      </c>
    </row>
    <row r="19" spans="2:13" ht="15" thickBot="1" x14ac:dyDescent="0.35">
      <c r="B19" s="14" t="s">
        <v>64</v>
      </c>
      <c r="C19" s="22">
        <f>IFERROR(C13-C16,"-")</f>
        <v>15767.380000000001</v>
      </c>
      <c r="D19" s="22">
        <f t="shared" ref="D19:M19" si="14">IFERROR(D13-D16,"-")</f>
        <v>16638.739999999998</v>
      </c>
      <c r="E19" s="22">
        <f t="shared" si="14"/>
        <v>17526.570000000003</v>
      </c>
      <c r="F19" s="22">
        <f t="shared" si="14"/>
        <v>19577.240000000002</v>
      </c>
      <c r="G19" s="22">
        <f t="shared" si="14"/>
        <v>20568.669999999998</v>
      </c>
      <c r="H19" s="22">
        <f t="shared" si="14"/>
        <v>18139.169999999998</v>
      </c>
      <c r="I19" s="22">
        <f t="shared" si="14"/>
        <v>21733.099999999995</v>
      </c>
      <c r="J19" s="22">
        <f t="shared" si="14"/>
        <v>27012.819999999992</v>
      </c>
      <c r="K19" s="22">
        <f t="shared" si="14"/>
        <v>26953.499999999996</v>
      </c>
      <c r="L19" s="22">
        <f t="shared" si="14"/>
        <v>28060.839999999997</v>
      </c>
      <c r="M19" s="22">
        <f t="shared" si="14"/>
        <v>26249.840000000004</v>
      </c>
    </row>
    <row r="20" spans="2:13" ht="15" thickTop="1" x14ac:dyDescent="0.3">
      <c r="B20" s="19" t="s">
        <v>60</v>
      </c>
      <c r="C20" s="59">
        <f>IFERROR(C19/C7,"-")</f>
        <v>0.4023101594453985</v>
      </c>
      <c r="D20" s="59">
        <f t="shared" ref="D20:L20" si="15">IFERROR(D19/D7,"-")</f>
        <v>0.38905012205501355</v>
      </c>
      <c r="E20" s="59">
        <f t="shared" si="15"/>
        <v>0.40338314352432997</v>
      </c>
      <c r="F20" s="59">
        <f t="shared" si="15"/>
        <v>0.40499400284404624</v>
      </c>
      <c r="G20" s="59">
        <f t="shared" si="15"/>
        <v>0.41647353490848937</v>
      </c>
      <c r="H20" s="59">
        <f t="shared" si="15"/>
        <v>0.36825231513202572</v>
      </c>
      <c r="I20" s="59">
        <f t="shared" si="15"/>
        <v>0.35836861818063087</v>
      </c>
      <c r="J20" s="59">
        <f t="shared" si="15"/>
        <v>0.38089663662912471</v>
      </c>
      <c r="K20" s="59">
        <f t="shared" si="15"/>
        <v>0.3967721222152642</v>
      </c>
      <c r="L20" s="59">
        <f t="shared" si="15"/>
        <v>0.37253844558671984</v>
      </c>
      <c r="M20" s="59">
        <f>IFERROR(M19/M7,"-")</f>
        <v>0.33210695503257076</v>
      </c>
    </row>
    <row r="22" spans="2:13" x14ac:dyDescent="0.3">
      <c r="B22" t="s">
        <v>5</v>
      </c>
      <c r="C22" s="17">
        <f>IFERROR('Data Sheet'!B45,"-")</f>
        <v>461.4</v>
      </c>
      <c r="D22" s="17">
        <f>IFERROR('Data Sheet'!C45,"-")</f>
        <v>442.46</v>
      </c>
      <c r="E22" s="17">
        <f>IFERROR('Data Sheet'!D45,"-")</f>
        <v>453.04</v>
      </c>
      <c r="F22" s="17">
        <f>IFERROR('Data Sheet'!E45,"-")</f>
        <v>384.04</v>
      </c>
      <c r="G22" s="17">
        <f>IFERROR('Data Sheet'!F45,"-")</f>
        <v>385.09</v>
      </c>
      <c r="H22" s="17">
        <f>IFERROR('Data Sheet'!G45,"-")</f>
        <v>403.13</v>
      </c>
      <c r="I22" s="17">
        <f>IFERROR('Data Sheet'!H45,"-")</f>
        <v>416.18</v>
      </c>
      <c r="J22" s="17">
        <f>IFERROR('Data Sheet'!I45,"-")</f>
        <v>415.98</v>
      </c>
      <c r="K22" s="17">
        <f>IFERROR('Data Sheet'!J45,"-")</f>
        <v>411.03</v>
      </c>
      <c r="L22" s="17">
        <f>IFERROR('Data Sheet'!K45,"-")</f>
        <v>422.96</v>
      </c>
      <c r="M22" s="17">
        <f>IFERROR(SUM('Data Sheet'!H45:K45),"-")</f>
        <v>1666.15</v>
      </c>
    </row>
    <row r="23" spans="2:13" x14ac:dyDescent="0.3">
      <c r="B23" s="19" t="s">
        <v>60</v>
      </c>
      <c r="C23" s="59">
        <f>IFERROR(C22/C7,"-")</f>
        <v>1.1772780738975457E-2</v>
      </c>
      <c r="D23" s="59">
        <f t="shared" ref="D23:M23" si="16">IFERROR(D22/D7,"-")</f>
        <v>1.0345682245438135E-2</v>
      </c>
      <c r="E23" s="59">
        <f t="shared" si="16"/>
        <v>1.042695172770613E-2</v>
      </c>
      <c r="F23" s="59">
        <f t="shared" si="16"/>
        <v>7.9446283976815687E-3</v>
      </c>
      <c r="G23" s="59">
        <f t="shared" si="16"/>
        <v>7.7972855589549623E-3</v>
      </c>
      <c r="H23" s="59">
        <f t="shared" si="16"/>
        <v>8.184142703286509E-3</v>
      </c>
      <c r="I23" s="59">
        <f t="shared" si="16"/>
        <v>6.8626128584700291E-3</v>
      </c>
      <c r="J23" s="59">
        <f t="shared" si="16"/>
        <v>5.8655624590466058E-3</v>
      </c>
      <c r="K23" s="59">
        <f t="shared" si="16"/>
        <v>6.05061477708424E-3</v>
      </c>
      <c r="L23" s="59">
        <f t="shared" si="16"/>
        <v>5.6152581656628607E-3</v>
      </c>
      <c r="M23" s="59">
        <f t="shared" si="16"/>
        <v>2.1079747652843511E-2</v>
      </c>
    </row>
    <row r="25" spans="2:13" ht="15" thickBot="1" x14ac:dyDescent="0.35">
      <c r="B25" s="14" t="s">
        <v>66</v>
      </c>
      <c r="C25" s="22">
        <f>IFERROR(C19-C22,"-")</f>
        <v>15305.980000000001</v>
      </c>
      <c r="D25" s="22">
        <f t="shared" ref="D25:M25" si="17">IFERROR(D19-D22,"-")</f>
        <v>16196.279999999999</v>
      </c>
      <c r="E25" s="22">
        <f t="shared" si="17"/>
        <v>17073.530000000002</v>
      </c>
      <c r="F25" s="22">
        <f t="shared" si="17"/>
        <v>19193.2</v>
      </c>
      <c r="G25" s="22">
        <f t="shared" si="17"/>
        <v>20183.579999999998</v>
      </c>
      <c r="H25" s="22">
        <f t="shared" si="17"/>
        <v>17736.039999999997</v>
      </c>
      <c r="I25" s="22">
        <f t="shared" si="17"/>
        <v>21316.919999999995</v>
      </c>
      <c r="J25" s="22">
        <f t="shared" si="17"/>
        <v>26596.839999999993</v>
      </c>
      <c r="K25" s="22">
        <f t="shared" si="17"/>
        <v>26542.469999999998</v>
      </c>
      <c r="L25" s="22">
        <f t="shared" si="17"/>
        <v>27637.879999999997</v>
      </c>
      <c r="M25" s="22">
        <f t="shared" si="17"/>
        <v>24583.690000000002</v>
      </c>
    </row>
    <row r="26" spans="2:13" ht="15" thickTop="1" x14ac:dyDescent="0.3"/>
    <row r="27" spans="2:13" x14ac:dyDescent="0.3">
      <c r="B27" t="s">
        <v>65</v>
      </c>
      <c r="C27" s="17">
        <f>'Data Sheet'!B27</f>
        <v>78.13</v>
      </c>
      <c r="D27" s="17">
        <f>'Data Sheet'!C27</f>
        <v>49.03</v>
      </c>
      <c r="E27" s="17">
        <f>'Data Sheet'!D27</f>
        <v>115.01</v>
      </c>
      <c r="F27" s="17">
        <f>'Data Sheet'!E27</f>
        <v>71.400000000000006</v>
      </c>
      <c r="G27" s="17">
        <f>'Data Sheet'!F27</f>
        <v>81.38</v>
      </c>
      <c r="H27" s="17">
        <f>'Data Sheet'!G27</f>
        <v>57.97</v>
      </c>
      <c r="I27" s="17">
        <f>'Data Sheet'!H27</f>
        <v>59.99</v>
      </c>
      <c r="J27" s="17">
        <f>'Data Sheet'!I27</f>
        <v>77.77</v>
      </c>
      <c r="K27" s="17">
        <f>'Data Sheet'!J27</f>
        <v>39.11</v>
      </c>
      <c r="L27" s="17">
        <f>'Data Sheet'!K27</f>
        <v>45.06</v>
      </c>
      <c r="M27" s="17">
        <f>IFERROR(SUM('Data Sheet'!H46:K46),"-")</f>
        <v>51.93</v>
      </c>
    </row>
    <row r="28" spans="2:13" x14ac:dyDescent="0.3">
      <c r="B28" s="19" t="s">
        <v>60</v>
      </c>
      <c r="C28" s="59">
        <f t="shared" ref="C28:M28" si="18">IFERROR(C27/C7,"-")</f>
        <v>1.9935139989946953E-3</v>
      </c>
      <c r="D28" s="59">
        <f t="shared" si="18"/>
        <v>1.146428604831695E-3</v>
      </c>
      <c r="E28" s="59">
        <f t="shared" si="18"/>
        <v>2.647015094039118E-3</v>
      </c>
      <c r="F28" s="59">
        <f t="shared" si="18"/>
        <v>1.4770504832685763E-3</v>
      </c>
      <c r="G28" s="59">
        <f t="shared" si="18"/>
        <v>1.647778697934911E-3</v>
      </c>
      <c r="H28" s="59">
        <f t="shared" si="18"/>
        <v>1.1768778123918311E-3</v>
      </c>
      <c r="I28" s="59">
        <f t="shared" si="18"/>
        <v>9.8920694262006107E-4</v>
      </c>
      <c r="J28" s="59">
        <f t="shared" si="18"/>
        <v>1.0966027031108574E-3</v>
      </c>
      <c r="K28" s="59">
        <f t="shared" si="18"/>
        <v>5.7572329010477244E-4</v>
      </c>
      <c r="L28" s="59">
        <f t="shared" si="18"/>
        <v>5.9822094984104534E-4</v>
      </c>
      <c r="M28" s="59">
        <f t="shared" si="18"/>
        <v>6.5700644936660167E-4</v>
      </c>
    </row>
    <row r="30" spans="2:13" ht="15" thickBot="1" x14ac:dyDescent="0.35">
      <c r="B30" s="14" t="s">
        <v>68</v>
      </c>
      <c r="C30" s="22">
        <f>IFERROR(C25-C27,"-")</f>
        <v>15227.850000000002</v>
      </c>
      <c r="D30" s="22">
        <f t="shared" ref="D30:M30" si="19">IFERROR(D25-D27,"-")</f>
        <v>16147.249999999998</v>
      </c>
      <c r="E30" s="22">
        <f t="shared" si="19"/>
        <v>16958.520000000004</v>
      </c>
      <c r="F30" s="22">
        <f t="shared" si="19"/>
        <v>19121.8</v>
      </c>
      <c r="G30" s="22">
        <f t="shared" si="19"/>
        <v>20102.199999999997</v>
      </c>
      <c r="H30" s="22">
        <f t="shared" si="19"/>
        <v>17678.069999999996</v>
      </c>
      <c r="I30" s="22">
        <f t="shared" si="19"/>
        <v>21256.929999999993</v>
      </c>
      <c r="J30" s="22">
        <f t="shared" si="19"/>
        <v>26519.069999999992</v>
      </c>
      <c r="K30" s="22">
        <f t="shared" si="19"/>
        <v>26503.359999999997</v>
      </c>
      <c r="L30" s="22">
        <f t="shared" si="19"/>
        <v>27592.819999999996</v>
      </c>
      <c r="M30" s="22">
        <f t="shared" si="19"/>
        <v>24531.760000000002</v>
      </c>
    </row>
    <row r="31" spans="2:13" ht="15" thickTop="1" x14ac:dyDescent="0.3">
      <c r="B31" s="19" t="s">
        <v>60</v>
      </c>
      <c r="C31" s="59">
        <f>IFERROR(C30/C7,"-")</f>
        <v>0.38854386470742835</v>
      </c>
      <c r="D31" s="59">
        <f t="shared" ref="D31:M31" si="20">IFERROR(D30/D7,"-")</f>
        <v>0.37755801120474375</v>
      </c>
      <c r="E31" s="59">
        <f t="shared" si="20"/>
        <v>0.39030917670258475</v>
      </c>
      <c r="F31" s="59">
        <f t="shared" si="20"/>
        <v>0.39557232396309605</v>
      </c>
      <c r="G31" s="59">
        <f t="shared" si="20"/>
        <v>0.40702847065159947</v>
      </c>
      <c r="H31" s="59">
        <f t="shared" si="20"/>
        <v>0.35889129461634733</v>
      </c>
      <c r="I31" s="59">
        <f t="shared" si="20"/>
        <v>0.35051679837954075</v>
      </c>
      <c r="J31" s="59">
        <f t="shared" si="20"/>
        <v>0.37393447146696723</v>
      </c>
      <c r="K31" s="59">
        <f t="shared" si="20"/>
        <v>0.39014578414807521</v>
      </c>
      <c r="L31" s="59">
        <f t="shared" si="20"/>
        <v>0.36632496647121593</v>
      </c>
      <c r="M31" s="59">
        <f t="shared" si="20"/>
        <v>0.31037020093036061</v>
      </c>
    </row>
    <row r="33" spans="2:13" x14ac:dyDescent="0.3">
      <c r="B33" t="s">
        <v>8</v>
      </c>
      <c r="C33" s="17">
        <f>IFERROR('Data Sheet'!B29,"-")</f>
        <v>5358.21</v>
      </c>
      <c r="D33" s="17">
        <f>IFERROR('Data Sheet'!C29,"-")</f>
        <v>5549.09</v>
      </c>
      <c r="E33" s="17">
        <f>IFERROR('Data Sheet'!D29,"-")</f>
        <v>5916.43</v>
      </c>
      <c r="F33" s="17">
        <f>IFERROR('Data Sheet'!E29,"-")</f>
        <v>6313.92</v>
      </c>
      <c r="G33" s="17">
        <f>IFERROR('Data Sheet'!F29,"-")</f>
        <v>4441.79</v>
      </c>
      <c r="H33" s="17">
        <f>IFERROR('Data Sheet'!G29,"-")</f>
        <v>4555.29</v>
      </c>
      <c r="I33" s="17">
        <f>IFERROR('Data Sheet'!H29,"-")</f>
        <v>5237.34</v>
      </c>
      <c r="J33" s="17">
        <f>IFERROR('Data Sheet'!I29,"-")</f>
        <v>6438.4</v>
      </c>
      <c r="K33" s="17">
        <f>IFERROR('Data Sheet'!J29,"-")</f>
        <v>6209.46</v>
      </c>
      <c r="L33" s="17">
        <f>IFERROR('Data Sheet'!K29,"-")</f>
        <v>6890.47</v>
      </c>
      <c r="M33" s="17">
        <f>IFERROR(SUM('Data Sheet'!H48:K48),"-")</f>
        <v>6948.82</v>
      </c>
    </row>
    <row r="34" spans="2:13" x14ac:dyDescent="0.3">
      <c r="B34" s="19" t="s">
        <v>67</v>
      </c>
      <c r="C34" s="59">
        <f>IFERROR(C33/C30,"-")</f>
        <v>0.35186910824574708</v>
      </c>
      <c r="D34" s="59">
        <f t="shared" ref="D34:M34" si="21">IFERROR(D33/D30,"-")</f>
        <v>0.34365542120175269</v>
      </c>
      <c r="E34" s="59">
        <f t="shared" si="21"/>
        <v>0.34887655290673941</v>
      </c>
      <c r="F34" s="59">
        <f t="shared" si="21"/>
        <v>0.33019485613279087</v>
      </c>
      <c r="G34" s="59">
        <f t="shared" si="21"/>
        <v>0.22096039239486229</v>
      </c>
      <c r="H34" s="59">
        <f t="shared" si="21"/>
        <v>0.25768027844668567</v>
      </c>
      <c r="I34" s="59">
        <f t="shared" si="21"/>
        <v>0.24638270907417026</v>
      </c>
      <c r="J34" s="59">
        <f t="shared" si="21"/>
        <v>0.24278377786249675</v>
      </c>
      <c r="K34" s="59">
        <f t="shared" si="21"/>
        <v>0.23428953913767916</v>
      </c>
      <c r="L34" s="59">
        <f t="shared" si="21"/>
        <v>0.24971967345128193</v>
      </c>
      <c r="M34" s="59">
        <f t="shared" si="21"/>
        <v>0.28325811111799559</v>
      </c>
    </row>
    <row r="36" spans="2:13" ht="15" thickBot="1" x14ac:dyDescent="0.35">
      <c r="B36" s="15" t="s">
        <v>69</v>
      </c>
      <c r="C36" s="22">
        <f>IFERROR(C25*(1-C34),"-")</f>
        <v>9920.2784665727613</v>
      </c>
      <c r="D36" s="22">
        <f t="shared" ref="D36:M36" si="22">IFERROR(D25*(1-D34),"-")</f>
        <v>10630.340574698477</v>
      </c>
      <c r="E36" s="22">
        <f t="shared" si="22"/>
        <v>11116.975707650197</v>
      </c>
      <c r="F36" s="22">
        <f t="shared" si="22"/>
        <v>12855.704087272119</v>
      </c>
      <c r="G36" s="22">
        <f t="shared" si="22"/>
        <v>15723.808243266903</v>
      </c>
      <c r="H36" s="22">
        <f t="shared" si="22"/>
        <v>13165.812274258444</v>
      </c>
      <c r="I36" s="22">
        <f t="shared" si="22"/>
        <v>16064.799501282634</v>
      </c>
      <c r="J36" s="22">
        <f t="shared" si="22"/>
        <v>20139.558705595628</v>
      </c>
      <c r="K36" s="22">
        <f t="shared" si="22"/>
        <v>20323.846936124322</v>
      </c>
      <c r="L36" s="22">
        <f t="shared" si="22"/>
        <v>20736.157631514285</v>
      </c>
      <c r="M36" s="22">
        <f t="shared" si="22"/>
        <v>17620.160406289644</v>
      </c>
    </row>
    <row r="37" spans="2:13" ht="15" thickTop="1" x14ac:dyDescent="0.3">
      <c r="B37" s="19" t="s">
        <v>60</v>
      </c>
      <c r="C37" s="59">
        <f>IFERROR(C36/C7,"-")</f>
        <v>0.25311933952436233</v>
      </c>
      <c r="D37" s="59">
        <f t="shared" ref="D37:M37" si="23">IFERROR(D36/D7,"-")</f>
        <v>0.24856060603584204</v>
      </c>
      <c r="E37" s="59">
        <f t="shared" si="23"/>
        <v>0.25586299015925812</v>
      </c>
      <c r="F37" s="59">
        <f t="shared" si="23"/>
        <v>0.26594571337343265</v>
      </c>
      <c r="G37" s="59">
        <f t="shared" si="23"/>
        <v>0.31837498493080069</v>
      </c>
      <c r="H37" s="59">
        <f t="shared" si="23"/>
        <v>0.26728570549751246</v>
      </c>
      <c r="I37" s="59">
        <f t="shared" si="23"/>
        <v>0.26490100347504714</v>
      </c>
      <c r="J37" s="59">
        <f t="shared" si="23"/>
        <v>0.2839796131672363</v>
      </c>
      <c r="K37" s="59">
        <f t="shared" si="23"/>
        <v>0.29917954552930953</v>
      </c>
      <c r="L37" s="59">
        <f t="shared" si="23"/>
        <v>0.27529524887656714</v>
      </c>
      <c r="M37" s="59">
        <f t="shared" si="23"/>
        <v>0.22292622811104057</v>
      </c>
    </row>
    <row r="39" spans="2:13" ht="15" thickBot="1" x14ac:dyDescent="0.35">
      <c r="B39" s="14" t="s">
        <v>83</v>
      </c>
      <c r="C39" s="22">
        <f>IFERROR(C30-C33,"-")</f>
        <v>9869.6400000000031</v>
      </c>
      <c r="D39" s="22">
        <f t="shared" ref="D39:M39" si="24">IFERROR(D30-D33,"-")</f>
        <v>10598.159999999998</v>
      </c>
      <c r="E39" s="22">
        <f t="shared" si="24"/>
        <v>11042.090000000004</v>
      </c>
      <c r="F39" s="22">
        <f t="shared" si="24"/>
        <v>12807.88</v>
      </c>
      <c r="G39" s="22">
        <f t="shared" si="24"/>
        <v>15660.409999999996</v>
      </c>
      <c r="H39" s="22">
        <f t="shared" si="24"/>
        <v>13122.779999999995</v>
      </c>
      <c r="I39" s="22">
        <f t="shared" si="24"/>
        <v>16019.589999999993</v>
      </c>
      <c r="J39" s="22">
        <f t="shared" si="24"/>
        <v>20080.669999999991</v>
      </c>
      <c r="K39" s="22">
        <f t="shared" si="24"/>
        <v>20293.899999999998</v>
      </c>
      <c r="L39" s="22">
        <f>IFERROR(L30-L33,"-")</f>
        <v>20702.349999999995</v>
      </c>
      <c r="M39" s="22">
        <f t="shared" si="24"/>
        <v>17582.940000000002</v>
      </c>
    </row>
    <row r="40" spans="2:13" ht="15" thickTop="1" x14ac:dyDescent="0.3">
      <c r="B40" s="19" t="s">
        <v>60</v>
      </c>
      <c r="C40" s="59">
        <f>IFERROR(C39/C7,"-")</f>
        <v>0.25182728151846939</v>
      </c>
      <c r="D40" s="59">
        <f t="shared" ref="D40:M40" si="25">IFERROR(D39/D7,"-")</f>
        <v>0.24780815383608149</v>
      </c>
      <c r="E40" s="59">
        <f t="shared" si="25"/>
        <v>0.25413945656671955</v>
      </c>
      <c r="F40" s="59">
        <f t="shared" si="25"/>
        <v>0.26495637736198779</v>
      </c>
      <c r="G40" s="59">
        <f t="shared" si="25"/>
        <v>0.31709130006054131</v>
      </c>
      <c r="H40" s="59">
        <f t="shared" si="25"/>
        <v>0.26641208588751542</v>
      </c>
      <c r="I40" s="59">
        <f t="shared" si="25"/>
        <v>0.26415552001878473</v>
      </c>
      <c r="J40" s="59">
        <f t="shared" si="25"/>
        <v>0.28314924781120093</v>
      </c>
      <c r="K40" s="59">
        <f t="shared" si="25"/>
        <v>0.29873870818351422</v>
      </c>
      <c r="L40" s="59">
        <f t="shared" si="25"/>
        <v>0.27484641546697208</v>
      </c>
      <c r="M40" s="59">
        <f t="shared" si="25"/>
        <v>0.22245532406751389</v>
      </c>
    </row>
    <row r="41" spans="2:13" x14ac:dyDescent="0.3">
      <c r="B41" s="19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</row>
    <row r="42" spans="2:13" x14ac:dyDescent="0.3">
      <c r="B42" t="s">
        <v>38</v>
      </c>
      <c r="C42" s="35">
        <f>'Data Sheet'!B93</f>
        <v>1207.08</v>
      </c>
      <c r="D42" s="35">
        <f>'Data Sheet'!C93</f>
        <v>1214.74</v>
      </c>
      <c r="E42" s="35">
        <f>'Data Sheet'!D93</f>
        <v>1220.43</v>
      </c>
      <c r="F42" s="35">
        <f>'Data Sheet'!E93</f>
        <v>1225.8599999999999</v>
      </c>
      <c r="G42" s="35">
        <f>'Data Sheet'!F93</f>
        <v>1229.22</v>
      </c>
      <c r="H42" s="35">
        <f>'Data Sheet'!G93</f>
        <v>1230.8800000000001</v>
      </c>
      <c r="I42" s="35">
        <f>'Data Sheet'!H93</f>
        <v>1232.33</v>
      </c>
      <c r="J42" s="35">
        <f>'Data Sheet'!I93</f>
        <v>1242.8</v>
      </c>
      <c r="K42" s="35">
        <f>'Data Sheet'!J93</f>
        <v>1248.47</v>
      </c>
      <c r="L42" s="35">
        <f>'Data Sheet'!K93</f>
        <v>1251.4100000000001</v>
      </c>
    </row>
    <row r="43" spans="2:13" x14ac:dyDescent="0.3">
      <c r="B43" s="19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</row>
    <row r="44" spans="2:13" x14ac:dyDescent="0.3">
      <c r="B44" t="s">
        <v>84</v>
      </c>
      <c r="C44" s="17">
        <f>C39/C42</f>
        <v>8.1764588925340522</v>
      </c>
      <c r="D44" s="17">
        <f t="shared" ref="D44:L44" si="26">D39/D42</f>
        <v>8.7246324316314592</v>
      </c>
      <c r="E44" s="17">
        <f t="shared" si="26"/>
        <v>9.0477044975951131</v>
      </c>
      <c r="F44" s="17">
        <f t="shared" si="26"/>
        <v>10.448077268203548</v>
      </c>
      <c r="G44" s="17">
        <f t="shared" si="26"/>
        <v>12.740119750736236</v>
      </c>
      <c r="H44" s="17">
        <f t="shared" si="26"/>
        <v>10.66129923306902</v>
      </c>
      <c r="I44" s="17">
        <f t="shared" si="26"/>
        <v>12.999431970332617</v>
      </c>
      <c r="J44" s="17">
        <f t="shared" si="26"/>
        <v>16.157603797875758</v>
      </c>
      <c r="K44" s="17">
        <f t="shared" si="26"/>
        <v>16.255016139755057</v>
      </c>
      <c r="L44" s="17">
        <f t="shared" si="26"/>
        <v>16.543219248687475</v>
      </c>
      <c r="M44" s="21"/>
    </row>
    <row r="45" spans="2:13" x14ac:dyDescent="0.3">
      <c r="B45" s="19" t="s">
        <v>85</v>
      </c>
      <c r="C45" s="59"/>
      <c r="D45" s="59">
        <f>D44/C44-1</f>
        <v>6.7042902838776008E-2</v>
      </c>
      <c r="E45" s="59">
        <f t="shared" ref="E45:L45" si="27">E44/D44-1</f>
        <v>3.7029877017207502E-2</v>
      </c>
      <c r="F45" s="59">
        <f t="shared" si="27"/>
        <v>0.15477658128430871</v>
      </c>
      <c r="G45" s="59">
        <f t="shared" si="27"/>
        <v>0.21937457234433189</v>
      </c>
      <c r="H45" s="59">
        <f t="shared" si="27"/>
        <v>-0.16317119134983671</v>
      </c>
      <c r="I45" s="59">
        <f t="shared" si="27"/>
        <v>0.21931030038170407</v>
      </c>
      <c r="J45" s="59">
        <f t="shared" si="27"/>
        <v>0.2429469098919661</v>
      </c>
      <c r="K45" s="59">
        <f t="shared" si="27"/>
        <v>6.0288854150580828E-3</v>
      </c>
      <c r="L45" s="59">
        <f t="shared" si="27"/>
        <v>1.7730102908206646E-2</v>
      </c>
      <c r="M45" s="21"/>
    </row>
    <row r="46" spans="2:13" x14ac:dyDescent="0.3">
      <c r="B46" s="19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</row>
    <row r="47" spans="2:13" x14ac:dyDescent="0.3">
      <c r="B47" t="s">
        <v>86</v>
      </c>
      <c r="C47" s="17">
        <f>'Data Sheet'!B31/'Financial Statement'!C42</f>
        <v>5.666666666666667</v>
      </c>
      <c r="D47" s="17">
        <f>'Data Sheet'!C31/'Financial Statement'!D42</f>
        <v>4.7500041161071511</v>
      </c>
      <c r="E47" s="17">
        <f>'Data Sheet'!D31/'Financial Statement'!E42</f>
        <v>5.1499963127750057</v>
      </c>
      <c r="F47" s="17">
        <f>'Data Sheet'!E31/'Financial Statement'!F42</f>
        <v>5.7500040787691908</v>
      </c>
      <c r="G47" s="17">
        <f>'Data Sheet'!F31/'Financial Statement'!G42</f>
        <v>10.149997559427929</v>
      </c>
      <c r="H47" s="17">
        <f>'Data Sheet'!G31/'Financial Statement'!H42</f>
        <v>10.749999999999998</v>
      </c>
      <c r="I47" s="17">
        <f>'Data Sheet'!H31/'Financial Statement'!I42</f>
        <v>11.500004057354767</v>
      </c>
      <c r="J47" s="17">
        <f>'Data Sheet'!I31/'Financial Statement'!J42</f>
        <v>15.500000000000002</v>
      </c>
      <c r="K47" s="17">
        <f>'Data Sheet'!J31/'Financial Statement'!K42</f>
        <v>13.749997997548999</v>
      </c>
      <c r="L47" s="17">
        <f>'Data Sheet'!K31/'Financial Statement'!L42</f>
        <v>14.349997203154841</v>
      </c>
      <c r="M47" s="21"/>
    </row>
    <row r="48" spans="2:13" x14ac:dyDescent="0.3">
      <c r="B48" s="19" t="s">
        <v>88</v>
      </c>
      <c r="C48" s="59">
        <f>IFERROR(C47/C44,0)</f>
        <v>0.69304655488953981</v>
      </c>
      <c r="D48" s="59">
        <f t="shared" ref="D48:L48" si="28">IFERROR(D47/D44,0)</f>
        <v>0.54443601530831776</v>
      </c>
      <c r="E48" s="59">
        <f t="shared" si="28"/>
        <v>0.56920474294268553</v>
      </c>
      <c r="F48" s="59">
        <f t="shared" si="28"/>
        <v>0.55034088389335312</v>
      </c>
      <c r="G48" s="59">
        <f t="shared" si="28"/>
        <v>0.79669561652600429</v>
      </c>
      <c r="H48" s="59">
        <f t="shared" si="28"/>
        <v>1.0083198834393325</v>
      </c>
      <c r="I48" s="59">
        <f t="shared" si="28"/>
        <v>0.88465435132859238</v>
      </c>
      <c r="J48" s="59">
        <f t="shared" si="28"/>
        <v>0.95930066078472531</v>
      </c>
      <c r="K48" s="59">
        <f t="shared" si="28"/>
        <v>0.84589260812362344</v>
      </c>
      <c r="L48" s="59">
        <f t="shared" si="28"/>
        <v>0.86742471265339471</v>
      </c>
      <c r="M48" s="21"/>
    </row>
    <row r="49" spans="1:13" x14ac:dyDescent="0.3">
      <c r="B49" s="19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</row>
    <row r="50" spans="1:13" x14ac:dyDescent="0.3">
      <c r="B50" t="s">
        <v>87</v>
      </c>
      <c r="C50" s="34">
        <f>IFERROR(IF(C44&gt;C47,1-C48,0),0)</f>
        <v>0.30695344511046019</v>
      </c>
      <c r="D50" s="34">
        <f>IFERROR(IF(D44&gt;D47,1-D48,0),0)</f>
        <v>0.45556398469168224</v>
      </c>
      <c r="E50" s="34">
        <f t="shared" ref="E50:L50" si="29">IFERROR(IF(E44&gt;E47,1-E48,0),0)</f>
        <v>0.43079525705731447</v>
      </c>
      <c r="F50" s="34">
        <f t="shared" si="29"/>
        <v>0.44965911610664688</v>
      </c>
      <c r="G50" s="34">
        <f t="shared" si="29"/>
        <v>0.20330438347399571</v>
      </c>
      <c r="H50" s="34">
        <f t="shared" si="29"/>
        <v>0</v>
      </c>
      <c r="I50" s="34">
        <f t="shared" si="29"/>
        <v>0.11534564867140762</v>
      </c>
      <c r="J50" s="34">
        <f t="shared" si="29"/>
        <v>4.0699339215274688E-2</v>
      </c>
      <c r="K50" s="34">
        <f t="shared" si="29"/>
        <v>0.15410739187637656</v>
      </c>
      <c r="L50" s="34">
        <f t="shared" si="29"/>
        <v>0.13257528734660529</v>
      </c>
      <c r="M50" s="21"/>
    </row>
    <row r="51" spans="1:13" x14ac:dyDescent="0.3">
      <c r="B51" s="19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</row>
    <row r="53" spans="1:13" x14ac:dyDescent="0.3">
      <c r="A53" t="s">
        <v>57</v>
      </c>
      <c r="B53" s="13" t="s">
        <v>71</v>
      </c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23"/>
    </row>
    <row r="55" spans="1:13" x14ac:dyDescent="0.3">
      <c r="B55" s="4" t="s">
        <v>10</v>
      </c>
      <c r="C55" s="17">
        <f>'Data Sheet'!B57</f>
        <v>804.72</v>
      </c>
      <c r="D55" s="17">
        <f>'Data Sheet'!C57</f>
        <v>1214.74</v>
      </c>
      <c r="E55" s="17">
        <f>'Data Sheet'!D57</f>
        <v>1220.43</v>
      </c>
      <c r="F55" s="17">
        <f>'Data Sheet'!E57</f>
        <v>1225.8599999999999</v>
      </c>
      <c r="G55" s="17">
        <f>'Data Sheet'!F57</f>
        <v>1229.22</v>
      </c>
      <c r="H55" s="17">
        <f>'Data Sheet'!G57</f>
        <v>1230.8800000000001</v>
      </c>
      <c r="I55" s="17">
        <f>'Data Sheet'!H57</f>
        <v>1232.33</v>
      </c>
      <c r="J55" s="17">
        <f>'Data Sheet'!I57</f>
        <v>1242.8</v>
      </c>
      <c r="K55" s="17">
        <f>'Data Sheet'!J57</f>
        <v>1248.47</v>
      </c>
      <c r="L55" s="17">
        <f>'Data Sheet'!K57</f>
        <v>1251.4100000000001</v>
      </c>
    </row>
    <row r="56" spans="1:13" x14ac:dyDescent="0.3">
      <c r="B56" s="4" t="s">
        <v>11</v>
      </c>
      <c r="C56" s="17">
        <f>'Data Sheet'!B58</f>
        <v>41874.800000000003</v>
      </c>
      <c r="D56" s="17">
        <f>'Data Sheet'!C58</f>
        <v>45198.19</v>
      </c>
      <c r="E56" s="17">
        <f>'Data Sheet'!D58</f>
        <v>51289.68</v>
      </c>
      <c r="F56" s="17">
        <f>'Data Sheet'!E58</f>
        <v>57915.01</v>
      </c>
      <c r="G56" s="17">
        <f>'Data Sheet'!F58</f>
        <v>64044.04</v>
      </c>
      <c r="H56" s="17">
        <f>'Data Sheet'!G58</f>
        <v>59116.46</v>
      </c>
      <c r="I56" s="17">
        <f>'Data Sheet'!H58</f>
        <v>61223.24</v>
      </c>
      <c r="J56" s="17">
        <f>'Data Sheet'!I58</f>
        <v>67912.460000000006</v>
      </c>
      <c r="K56" s="17">
        <f>'Data Sheet'!J58</f>
        <v>73258.53</v>
      </c>
      <c r="L56" s="17">
        <f>'Data Sheet'!K58</f>
        <v>68778.64</v>
      </c>
    </row>
    <row r="57" spans="1:13" x14ac:dyDescent="0.3">
      <c r="B57" s="4" t="s">
        <v>35</v>
      </c>
      <c r="C57" s="17">
        <f>'Data Sheet'!B59</f>
        <v>83.78</v>
      </c>
      <c r="D57" s="17">
        <f>'Data Sheet'!C59</f>
        <v>45.72</v>
      </c>
      <c r="E57" s="17">
        <f>'Data Sheet'!D59</f>
        <v>35.92</v>
      </c>
      <c r="F57" s="17">
        <f>'Data Sheet'!E59</f>
        <v>13.44</v>
      </c>
      <c r="G57" s="17">
        <f>'Data Sheet'!F59</f>
        <v>277.45</v>
      </c>
      <c r="H57" s="17">
        <f>'Data Sheet'!G59</f>
        <v>270.83</v>
      </c>
      <c r="I57" s="17">
        <f>'Data Sheet'!H59</f>
        <v>249.44</v>
      </c>
      <c r="J57" s="17">
        <f>'Data Sheet'!I59</f>
        <v>306.04000000000002</v>
      </c>
      <c r="K57" s="17">
        <f>'Data Sheet'!J59</f>
        <v>303.43</v>
      </c>
      <c r="L57" s="17">
        <f>'Data Sheet'!K59</f>
        <v>284.54000000000002</v>
      </c>
    </row>
    <row r="58" spans="1:13" x14ac:dyDescent="0.3">
      <c r="B58" s="4" t="s">
        <v>36</v>
      </c>
      <c r="C58" s="17">
        <f>'Data Sheet'!B60</f>
        <v>8888.0400000000009</v>
      </c>
      <c r="D58" s="17">
        <f>'Data Sheet'!C60</f>
        <v>9439.67</v>
      </c>
      <c r="E58" s="17">
        <f>'Data Sheet'!D60</f>
        <v>11694.85</v>
      </c>
      <c r="F58" s="17">
        <f>'Data Sheet'!E60</f>
        <v>12584.73</v>
      </c>
      <c r="G58" s="17">
        <f>'Data Sheet'!F60</f>
        <v>11760.04</v>
      </c>
      <c r="H58" s="17">
        <f>'Data Sheet'!G60</f>
        <v>13142.59</v>
      </c>
      <c r="I58" s="17">
        <f>'Data Sheet'!H60</f>
        <v>14491.01</v>
      </c>
      <c r="J58" s="17">
        <f>'Data Sheet'!I60</f>
        <v>16369.66</v>
      </c>
      <c r="K58" s="17">
        <f>'Data Sheet'!J60</f>
        <v>16943.54</v>
      </c>
      <c r="L58" s="17">
        <f>'Data Sheet'!K60</f>
        <v>17688.11</v>
      </c>
    </row>
    <row r="59" spans="1:13" ht="15" thickBot="1" x14ac:dyDescent="0.35">
      <c r="B59" s="31" t="s">
        <v>72</v>
      </c>
      <c r="C59" s="22">
        <f>'Data Sheet'!B61</f>
        <v>51651.34</v>
      </c>
      <c r="D59" s="22">
        <f>'Data Sheet'!C61</f>
        <v>55898.32</v>
      </c>
      <c r="E59" s="22">
        <f>'Data Sheet'!D61</f>
        <v>64240.88</v>
      </c>
      <c r="F59" s="22">
        <f>'Data Sheet'!E61</f>
        <v>71739.039999999994</v>
      </c>
      <c r="G59" s="22">
        <f>'Data Sheet'!F61</f>
        <v>77310.75</v>
      </c>
      <c r="H59" s="22">
        <f>'Data Sheet'!G61</f>
        <v>73760.759999999995</v>
      </c>
      <c r="I59" s="22">
        <f>'Data Sheet'!H61</f>
        <v>77196.02</v>
      </c>
      <c r="J59" s="22">
        <f>'Data Sheet'!I61</f>
        <v>85830.96</v>
      </c>
      <c r="K59" s="22">
        <f>'Data Sheet'!J61</f>
        <v>91753.97</v>
      </c>
      <c r="L59" s="22">
        <f>'Data Sheet'!K61</f>
        <v>88002.7</v>
      </c>
    </row>
    <row r="60" spans="1:13" ht="15" thickTop="1" x14ac:dyDescent="0.3">
      <c r="B60" s="1"/>
    </row>
    <row r="61" spans="1:13" x14ac:dyDescent="0.3">
      <c r="B61" s="4" t="s">
        <v>13</v>
      </c>
      <c r="C61" s="17">
        <f>'Data Sheet'!B62</f>
        <v>15106.63</v>
      </c>
      <c r="D61" s="17">
        <f>'Data Sheet'!C62</f>
        <v>15893.48</v>
      </c>
      <c r="E61" s="17">
        <f>'Data Sheet'!D62</f>
        <v>16523.96</v>
      </c>
      <c r="F61" s="17">
        <f>'Data Sheet'!E62</f>
        <v>19374.189999999999</v>
      </c>
      <c r="G61" s="17">
        <f>'Data Sheet'!F62</f>
        <v>21713.34</v>
      </c>
      <c r="H61" s="17">
        <f>'Data Sheet'!G62</f>
        <v>23298.48</v>
      </c>
      <c r="I61" s="17">
        <f>'Data Sheet'!H62</f>
        <v>24231.59</v>
      </c>
      <c r="J61" s="17">
        <f>'Data Sheet'!I62</f>
        <v>25851.27</v>
      </c>
      <c r="K61" s="17">
        <f>'Data Sheet'!J62</f>
        <v>27820.22</v>
      </c>
      <c r="L61" s="17">
        <f>'Data Sheet'!K62</f>
        <v>21954.85</v>
      </c>
    </row>
    <row r="62" spans="1:13" x14ac:dyDescent="0.3">
      <c r="B62" s="4" t="s">
        <v>14</v>
      </c>
      <c r="C62" s="17">
        <f>'Data Sheet'!B63</f>
        <v>2559.7199999999998</v>
      </c>
      <c r="D62" s="17">
        <f>'Data Sheet'!C63</f>
        <v>3729.89</v>
      </c>
      <c r="E62" s="17">
        <f>'Data Sheet'!D63</f>
        <v>5508.33</v>
      </c>
      <c r="F62" s="17">
        <f>'Data Sheet'!E63</f>
        <v>4136.42</v>
      </c>
      <c r="G62" s="17">
        <f>'Data Sheet'!F63</f>
        <v>3256.46</v>
      </c>
      <c r="H62" s="17">
        <f>'Data Sheet'!G63</f>
        <v>4011.29</v>
      </c>
      <c r="I62" s="17">
        <f>'Data Sheet'!H63</f>
        <v>3225.54</v>
      </c>
      <c r="J62" s="17">
        <f>'Data Sheet'!I63</f>
        <v>3003.3</v>
      </c>
      <c r="K62" s="17">
        <f>'Data Sheet'!J63</f>
        <v>2860.78</v>
      </c>
      <c r="L62" s="17">
        <f>'Data Sheet'!K63</f>
        <v>1090.9100000000001</v>
      </c>
    </row>
    <row r="63" spans="1:13" x14ac:dyDescent="0.3">
      <c r="B63" s="4" t="s">
        <v>15</v>
      </c>
      <c r="C63" s="17">
        <f>'Data Sheet'!B64</f>
        <v>11747.59</v>
      </c>
      <c r="D63" s="17">
        <f>'Data Sheet'!C64</f>
        <v>17581.38</v>
      </c>
      <c r="E63" s="17">
        <f>'Data Sheet'!D64</f>
        <v>22052.86</v>
      </c>
      <c r="F63" s="17">
        <f>'Data Sheet'!E64</f>
        <v>25043.49</v>
      </c>
      <c r="G63" s="17">
        <f>'Data Sheet'!F64</f>
        <v>28663.35</v>
      </c>
      <c r="H63" s="17">
        <f>'Data Sheet'!G64</f>
        <v>24870.87</v>
      </c>
      <c r="I63" s="17">
        <f>'Data Sheet'!H64</f>
        <v>24841.01</v>
      </c>
      <c r="J63" s="17">
        <f>'Data Sheet'!I64</f>
        <v>29415.02</v>
      </c>
      <c r="K63" s="17">
        <f>'Data Sheet'!J64</f>
        <v>31114.02</v>
      </c>
      <c r="L63" s="17">
        <f>'Data Sheet'!K64</f>
        <v>34719.82</v>
      </c>
    </row>
    <row r="64" spans="1:13" x14ac:dyDescent="0.3">
      <c r="B64" s="4" t="s">
        <v>37</v>
      </c>
      <c r="C64" s="17">
        <f>IFERROR('Data Sheet'!B65-SUM('Data Sheet'!B67:B69),"-")</f>
        <v>5194.82</v>
      </c>
      <c r="D64" s="17">
        <f>IFERROR('Data Sheet'!C65-SUM('Data Sheet'!C67:C69),"-")</f>
        <v>5135.7800000000007</v>
      </c>
      <c r="E64" s="17">
        <f>IFERROR('Data Sheet'!D65-SUM('Data Sheet'!D67:D69),"-")</f>
        <v>7078.7499999999982</v>
      </c>
      <c r="F64" s="17">
        <f>IFERROR('Data Sheet'!E65-SUM('Data Sheet'!E67:E69),"-")</f>
        <v>7138.07</v>
      </c>
      <c r="G64" s="17">
        <f>IFERROR('Data Sheet'!F65-SUM('Data Sheet'!F67:F69),"-")</f>
        <v>4958.4499999999971</v>
      </c>
      <c r="H64" s="17">
        <f>IFERROR('Data Sheet'!G65-SUM('Data Sheet'!G67:G69),"-")</f>
        <v>4022.239999999998</v>
      </c>
      <c r="I64" s="17">
        <f>IFERROR('Data Sheet'!H65-SUM('Data Sheet'!H67:H69),"-")</f>
        <v>6917.41</v>
      </c>
      <c r="J64" s="17">
        <f>IFERROR('Data Sheet'!I65-SUM('Data Sheet'!I67:I69),"-")</f>
        <v>7953.8499999999985</v>
      </c>
      <c r="K64" s="17">
        <f>IFERROR('Data Sheet'!J65-SUM('Data Sheet'!J67:J69),"-")</f>
        <v>4562.57</v>
      </c>
      <c r="L64" s="17">
        <f>IFERROR('Data Sheet'!K65-SUM('Data Sheet'!K67:K69),"-")</f>
        <v>5867.5299999999988</v>
      </c>
    </row>
    <row r="65" spans="1:12" x14ac:dyDescent="0.3">
      <c r="B65" s="24" t="s">
        <v>73</v>
      </c>
      <c r="C65" s="28">
        <f>IFERROR(SUM(C61:C64),"-")</f>
        <v>34608.759999999995</v>
      </c>
      <c r="D65" s="28">
        <f t="shared" ref="D65:L65" si="30">IFERROR(SUM(D61:D64),"-")</f>
        <v>42340.53</v>
      </c>
      <c r="E65" s="28">
        <f t="shared" si="30"/>
        <v>51163.9</v>
      </c>
      <c r="F65" s="28">
        <f t="shared" si="30"/>
        <v>55692.170000000006</v>
      </c>
      <c r="G65" s="28">
        <f t="shared" si="30"/>
        <v>58591.599999999991</v>
      </c>
      <c r="H65" s="28">
        <f t="shared" si="30"/>
        <v>56202.879999999997</v>
      </c>
      <c r="I65" s="28">
        <f t="shared" si="30"/>
        <v>59215.55</v>
      </c>
      <c r="J65" s="28">
        <f t="shared" si="30"/>
        <v>66223.44</v>
      </c>
      <c r="K65" s="28">
        <f t="shared" si="30"/>
        <v>66357.59</v>
      </c>
      <c r="L65" s="28">
        <f t="shared" si="30"/>
        <v>63633.11</v>
      </c>
    </row>
    <row r="66" spans="1:12" x14ac:dyDescent="0.3">
      <c r="B66" s="1"/>
    </row>
    <row r="67" spans="1:12" x14ac:dyDescent="0.3">
      <c r="B67" s="4" t="s">
        <v>42</v>
      </c>
      <c r="C67" s="17">
        <f>'Data Sheet'!B67</f>
        <v>1917.18</v>
      </c>
      <c r="D67" s="17">
        <f>'Data Sheet'!C67</f>
        <v>2474.29</v>
      </c>
      <c r="E67" s="17">
        <f>'Data Sheet'!D67</f>
        <v>2682.29</v>
      </c>
      <c r="F67" s="17">
        <f>'Data Sheet'!E67</f>
        <v>4035.28</v>
      </c>
      <c r="G67" s="17">
        <f>'Data Sheet'!F67</f>
        <v>2562.48</v>
      </c>
      <c r="H67" s="17">
        <f>'Data Sheet'!G67</f>
        <v>2501.6999999999998</v>
      </c>
      <c r="I67" s="17">
        <f>'Data Sheet'!H67</f>
        <v>2461.9</v>
      </c>
      <c r="J67" s="17">
        <f>'Data Sheet'!I67</f>
        <v>2956.17</v>
      </c>
      <c r="K67" s="17">
        <f>'Data Sheet'!J67</f>
        <v>4025.82</v>
      </c>
      <c r="L67" s="17">
        <f>'Data Sheet'!K67</f>
        <v>4719.67</v>
      </c>
    </row>
    <row r="68" spans="1:12" x14ac:dyDescent="0.3">
      <c r="B68" s="4" t="s">
        <v>29</v>
      </c>
      <c r="C68" s="17">
        <f>'Data Sheet'!B68</f>
        <v>9062.1</v>
      </c>
      <c r="D68" s="17">
        <f>'Data Sheet'!C68</f>
        <v>8116.1</v>
      </c>
      <c r="E68" s="17">
        <f>'Data Sheet'!D68</f>
        <v>7495.09</v>
      </c>
      <c r="F68" s="17">
        <f>'Data Sheet'!E68</f>
        <v>7859.56</v>
      </c>
      <c r="G68" s="17">
        <f>'Data Sheet'!F68</f>
        <v>8879.33</v>
      </c>
      <c r="H68" s="17">
        <f>'Data Sheet'!G68</f>
        <v>10397.16</v>
      </c>
      <c r="I68" s="17">
        <f>'Data Sheet'!H68</f>
        <v>10864.15</v>
      </c>
      <c r="J68" s="17">
        <f>'Data Sheet'!I68</f>
        <v>11771.16</v>
      </c>
      <c r="K68" s="17">
        <f>'Data Sheet'!J68</f>
        <v>14152.88</v>
      </c>
      <c r="L68" s="17">
        <f>'Data Sheet'!K68</f>
        <v>15637.56</v>
      </c>
    </row>
    <row r="69" spans="1:12" x14ac:dyDescent="0.3">
      <c r="B69" s="3" t="s">
        <v>51</v>
      </c>
      <c r="C69" s="17">
        <f>'Data Sheet'!B69</f>
        <v>6063.3</v>
      </c>
      <c r="D69" s="17">
        <f>'Data Sheet'!C69</f>
        <v>2967.4</v>
      </c>
      <c r="E69" s="17">
        <f>'Data Sheet'!D69</f>
        <v>2899.6</v>
      </c>
      <c r="F69" s="17">
        <f>'Data Sheet'!E69</f>
        <v>4152.03</v>
      </c>
      <c r="G69" s="17">
        <f>'Data Sheet'!F69</f>
        <v>7277.34</v>
      </c>
      <c r="H69" s="17">
        <f>'Data Sheet'!G69</f>
        <v>4659.0200000000004</v>
      </c>
      <c r="I69" s="17">
        <f>'Data Sheet'!H69</f>
        <v>4654.42</v>
      </c>
      <c r="J69" s="17">
        <f>'Data Sheet'!I69</f>
        <v>4880.1899999999996</v>
      </c>
      <c r="K69" s="17">
        <f>'Data Sheet'!J69</f>
        <v>7217.68</v>
      </c>
      <c r="L69" s="17">
        <f>'Data Sheet'!K69</f>
        <v>4012.36</v>
      </c>
    </row>
    <row r="70" spans="1:12" x14ac:dyDescent="0.3">
      <c r="B70" s="25" t="s">
        <v>74</v>
      </c>
      <c r="C70" s="28">
        <f>IFERROR(SUM(C67:C69),"-")</f>
        <v>17042.580000000002</v>
      </c>
      <c r="D70" s="28">
        <f t="shared" ref="D70:L70" si="31">IFERROR(SUM(D67:D69),"-")</f>
        <v>13557.789999999999</v>
      </c>
      <c r="E70" s="28">
        <f t="shared" si="31"/>
        <v>13076.980000000001</v>
      </c>
      <c r="F70" s="28">
        <f t="shared" si="31"/>
        <v>16046.869999999999</v>
      </c>
      <c r="G70" s="28">
        <f t="shared" si="31"/>
        <v>18719.150000000001</v>
      </c>
      <c r="H70" s="28">
        <f t="shared" si="31"/>
        <v>17557.88</v>
      </c>
      <c r="I70" s="28">
        <f t="shared" si="31"/>
        <v>17980.47</v>
      </c>
      <c r="J70" s="28">
        <f t="shared" si="31"/>
        <v>19607.52</v>
      </c>
      <c r="K70" s="28">
        <f t="shared" si="31"/>
        <v>25396.38</v>
      </c>
      <c r="L70" s="28">
        <f t="shared" si="31"/>
        <v>24369.59</v>
      </c>
    </row>
    <row r="72" spans="1:12" ht="15" thickBot="1" x14ac:dyDescent="0.35">
      <c r="B72" s="32" t="s">
        <v>75</v>
      </c>
      <c r="C72" s="18">
        <f>IFERROR(SUM(C65,C70),"-")</f>
        <v>51651.34</v>
      </c>
      <c r="D72" s="18">
        <f t="shared" ref="D72:L72" si="32">IFERROR(SUM(D65,D70),"-")</f>
        <v>55898.32</v>
      </c>
      <c r="E72" s="18">
        <f t="shared" si="32"/>
        <v>64240.880000000005</v>
      </c>
      <c r="F72" s="18">
        <f t="shared" si="32"/>
        <v>71739.040000000008</v>
      </c>
      <c r="G72" s="18">
        <f t="shared" si="32"/>
        <v>77310.75</v>
      </c>
      <c r="H72" s="18">
        <f t="shared" si="32"/>
        <v>73760.759999999995</v>
      </c>
      <c r="I72" s="18">
        <f t="shared" si="32"/>
        <v>77196.02</v>
      </c>
      <c r="J72" s="18">
        <f t="shared" si="32"/>
        <v>85830.96</v>
      </c>
      <c r="K72" s="18">
        <f t="shared" si="32"/>
        <v>91753.97</v>
      </c>
      <c r="L72" s="18">
        <f t="shared" si="32"/>
        <v>88002.7</v>
      </c>
    </row>
    <row r="73" spans="1:12" ht="15" thickTop="1" x14ac:dyDescent="0.3">
      <c r="B73" s="26" t="s">
        <v>76</v>
      </c>
      <c r="C73" s="27" t="b">
        <f>C72=C59</f>
        <v>1</v>
      </c>
      <c r="D73" s="27" t="b">
        <f t="shared" ref="D73:L73" si="33">D72=D59</f>
        <v>1</v>
      </c>
      <c r="E73" s="27" t="b">
        <f t="shared" si="33"/>
        <v>1</v>
      </c>
      <c r="F73" s="27" t="b">
        <f t="shared" si="33"/>
        <v>1</v>
      </c>
      <c r="G73" s="27" t="b">
        <f t="shared" si="33"/>
        <v>1</v>
      </c>
      <c r="H73" s="27" t="b">
        <f t="shared" si="33"/>
        <v>1</v>
      </c>
      <c r="I73" s="27" t="b">
        <f t="shared" si="33"/>
        <v>1</v>
      </c>
      <c r="J73" s="27" t="b">
        <f t="shared" si="33"/>
        <v>1</v>
      </c>
      <c r="K73" s="27" t="b">
        <f t="shared" si="33"/>
        <v>1</v>
      </c>
      <c r="L73" s="27" t="b">
        <f t="shared" si="33"/>
        <v>1</v>
      </c>
    </row>
    <row r="75" spans="1:12" x14ac:dyDescent="0.3">
      <c r="A75" t="s">
        <v>57</v>
      </c>
      <c r="B75" s="13" t="s">
        <v>77</v>
      </c>
      <c r="C75" s="13"/>
      <c r="D75" s="13"/>
      <c r="E75" s="13"/>
      <c r="F75" s="13"/>
      <c r="G75" s="13"/>
      <c r="H75" s="13"/>
      <c r="I75" s="13"/>
      <c r="J75" s="13"/>
      <c r="K75" s="13"/>
      <c r="L75" s="13"/>
    </row>
    <row r="77" spans="1:12" x14ac:dyDescent="0.3">
      <c r="B77" s="29" t="s">
        <v>17</v>
      </c>
      <c r="C77" s="30">
        <f>'Data Sheet'!B82</f>
        <v>9799.0400000000009</v>
      </c>
      <c r="D77" s="30">
        <f>'Data Sheet'!C82</f>
        <v>10627.31</v>
      </c>
      <c r="E77" s="30">
        <f>'Data Sheet'!D82</f>
        <v>13169.4</v>
      </c>
      <c r="F77" s="30">
        <f>'Data Sheet'!E82</f>
        <v>12583.41</v>
      </c>
      <c r="G77" s="30">
        <f>'Data Sheet'!F82</f>
        <v>14689.66</v>
      </c>
      <c r="H77" s="30">
        <f>'Data Sheet'!G82</f>
        <v>12526.97</v>
      </c>
      <c r="I77" s="30">
        <f>'Data Sheet'!H82</f>
        <v>15775.51</v>
      </c>
      <c r="J77" s="30">
        <f>'Data Sheet'!I82</f>
        <v>18877.55</v>
      </c>
      <c r="K77" s="30">
        <f>'Data Sheet'!J82</f>
        <v>17178.86</v>
      </c>
      <c r="L77" s="30">
        <f>'Data Sheet'!K82</f>
        <v>17627.04</v>
      </c>
    </row>
    <row r="78" spans="1:12" x14ac:dyDescent="0.3">
      <c r="B78" s="2"/>
    </row>
    <row r="79" spans="1:12" x14ac:dyDescent="0.3">
      <c r="B79" s="29" t="s">
        <v>18</v>
      </c>
      <c r="C79" s="30">
        <f>'Data Sheet'!B83</f>
        <v>-3920.73</v>
      </c>
      <c r="D79" s="30">
        <f>'Data Sheet'!C83</f>
        <v>-3250.93</v>
      </c>
      <c r="E79" s="30">
        <f>'Data Sheet'!D83</f>
        <v>-7113.89</v>
      </c>
      <c r="F79" s="30">
        <f>'Data Sheet'!E83</f>
        <v>-5545.68</v>
      </c>
      <c r="G79" s="30">
        <f>'Data Sheet'!F83</f>
        <v>-6174.02</v>
      </c>
      <c r="H79" s="30">
        <f>'Data Sheet'!G83</f>
        <v>5739.98</v>
      </c>
      <c r="I79" s="30">
        <f>'Data Sheet'!H83</f>
        <v>-2238.4899999999998</v>
      </c>
      <c r="J79" s="30">
        <f>'Data Sheet'!I83</f>
        <v>-5732.29</v>
      </c>
      <c r="K79" s="30">
        <f>'Data Sheet'!J83</f>
        <v>1562.77</v>
      </c>
      <c r="L79" s="30">
        <f>'Data Sheet'!K83</f>
        <v>-563.84</v>
      </c>
    </row>
    <row r="81" spans="2:12" x14ac:dyDescent="0.3">
      <c r="B81" s="29" t="s">
        <v>19</v>
      </c>
      <c r="C81" s="30">
        <f>'Data Sheet'!B84</f>
        <v>-5612.52</v>
      </c>
      <c r="D81" s="30">
        <f>'Data Sheet'!C84</f>
        <v>-7301.03</v>
      </c>
      <c r="E81" s="30">
        <f>'Data Sheet'!D84</f>
        <v>-6221.13</v>
      </c>
      <c r="F81" s="30">
        <f>'Data Sheet'!E84</f>
        <v>-6868.64</v>
      </c>
      <c r="G81" s="30">
        <f>'Data Sheet'!F84</f>
        <v>-8181.48</v>
      </c>
      <c r="H81" s="30">
        <f>'Data Sheet'!G84</f>
        <v>-18633.830000000002</v>
      </c>
      <c r="I81" s="30">
        <f>'Data Sheet'!H84</f>
        <v>-13580.5</v>
      </c>
      <c r="J81" s="30">
        <f>'Data Sheet'!I84</f>
        <v>-13006.03</v>
      </c>
      <c r="K81" s="30">
        <f>'Data Sheet'!J84</f>
        <v>-18550.96</v>
      </c>
      <c r="L81" s="30">
        <f>'Data Sheet'!K84</f>
        <v>-17037.400000000001</v>
      </c>
    </row>
    <row r="83" spans="2:12" ht="15" thickBot="1" x14ac:dyDescent="0.35">
      <c r="B83" s="14" t="s">
        <v>20</v>
      </c>
      <c r="C83" s="18">
        <f>'Data Sheet'!B85</f>
        <v>265.79000000000002</v>
      </c>
      <c r="D83" s="18">
        <f>'Data Sheet'!C85</f>
        <v>75.349999999999994</v>
      </c>
      <c r="E83" s="18">
        <f>'Data Sheet'!D85</f>
        <v>-165.62</v>
      </c>
      <c r="F83" s="18">
        <f>'Data Sheet'!E85</f>
        <v>169.09</v>
      </c>
      <c r="G83" s="18">
        <f>'Data Sheet'!F85</f>
        <v>334.16</v>
      </c>
      <c r="H83" s="18">
        <f>'Data Sheet'!G85</f>
        <v>-366.88</v>
      </c>
      <c r="I83" s="18">
        <f>'Data Sheet'!H85</f>
        <v>-43.48</v>
      </c>
      <c r="J83" s="18">
        <f>'Data Sheet'!I85</f>
        <v>139.22999999999999</v>
      </c>
      <c r="K83" s="18">
        <f>'Data Sheet'!J85</f>
        <v>190.67</v>
      </c>
      <c r="L83" s="18">
        <f>'Data Sheet'!K85</f>
        <v>25.8</v>
      </c>
    </row>
    <row r="84" spans="2:12" ht="15" thickTop="1" x14ac:dyDescent="0.3"/>
  </sheetData>
  <mergeCells count="1">
    <mergeCell ref="B2:M2"/>
  </mergeCells>
  <pageMargins left="0.7" right="0.7" top="0.75" bottom="0.75" header="0.3" footer="0.3"/>
  <pageSetup orientation="portrait" r:id="rId1"/>
  <ignoredErrors>
    <ignoredError sqref="M7 M10 M22 M27 M33" formulaRange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32879-30C3-4E8F-A04B-391F5CCEAEC4}">
  <dimension ref="B1:O27"/>
  <sheetViews>
    <sheetView showGridLines="0" topLeftCell="A10" workbookViewId="0">
      <selection activeCell="N17" sqref="N17"/>
    </sheetView>
  </sheetViews>
  <sheetFormatPr defaultRowHeight="14.4" x14ac:dyDescent="0.3"/>
  <cols>
    <col min="1" max="1" width="2.33203125" customWidth="1"/>
    <col min="2" max="2" width="11.88671875" style="52" customWidth="1"/>
    <col min="3" max="3" width="8.88671875" style="51"/>
    <col min="4" max="4" width="13.44140625" style="51" customWidth="1"/>
    <col min="5" max="5" width="11" style="51" bestFit="1" customWidth="1"/>
    <col min="6" max="6" width="2.21875" customWidth="1"/>
    <col min="9" max="9" width="14.6640625" customWidth="1"/>
    <col min="10" max="10" width="11.88671875" customWidth="1"/>
    <col min="11" max="11" width="3.44140625" customWidth="1"/>
    <col min="14" max="14" width="12.88671875" customWidth="1"/>
    <col min="15" max="15" width="11.33203125" customWidth="1"/>
  </cols>
  <sheetData>
    <row r="1" spans="2:15" ht="23.4" x14ac:dyDescent="0.45">
      <c r="B1" s="74" t="s">
        <v>121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3" spans="2:15" x14ac:dyDescent="0.3">
      <c r="B3" s="54" t="s">
        <v>113</v>
      </c>
      <c r="C3" s="54"/>
      <c r="D3" s="54"/>
      <c r="E3" s="54"/>
      <c r="G3" s="54" t="s">
        <v>114</v>
      </c>
      <c r="H3" s="54"/>
      <c r="I3" s="54"/>
      <c r="J3" s="54"/>
      <c r="L3" s="54" t="s">
        <v>117</v>
      </c>
      <c r="M3" s="54"/>
      <c r="N3" s="54"/>
      <c r="O3" s="54"/>
    </row>
    <row r="4" spans="2:15" ht="3.6" customHeight="1" x14ac:dyDescent="0.3">
      <c r="G4" s="52"/>
      <c r="H4" s="51"/>
      <c r="I4" s="51"/>
      <c r="J4" s="51"/>
      <c r="L4" s="52"/>
      <c r="M4" s="51"/>
      <c r="N4" s="51"/>
      <c r="O4" s="51"/>
    </row>
    <row r="5" spans="2:15" x14ac:dyDescent="0.3">
      <c r="B5" s="55" t="s">
        <v>112</v>
      </c>
      <c r="C5" s="56" t="s">
        <v>54</v>
      </c>
      <c r="D5" s="56" t="s">
        <v>1</v>
      </c>
      <c r="E5" s="56" t="s">
        <v>116</v>
      </c>
      <c r="G5" s="55" t="s">
        <v>112</v>
      </c>
      <c r="H5" s="56" t="s">
        <v>54</v>
      </c>
      <c r="I5" s="56" t="s">
        <v>64</v>
      </c>
      <c r="J5" s="56" t="s">
        <v>115</v>
      </c>
      <c r="L5" s="55" t="s">
        <v>112</v>
      </c>
      <c r="M5" s="56" t="s">
        <v>54</v>
      </c>
      <c r="N5" s="56" t="s">
        <v>83</v>
      </c>
      <c r="O5" s="56" t="s">
        <v>115</v>
      </c>
    </row>
    <row r="6" spans="2:15" x14ac:dyDescent="0.3">
      <c r="B6" s="60">
        <v>1</v>
      </c>
      <c r="C6" s="61" cm="1">
        <f t="array" ref="C6">INDEX('Financial Statement'!$C$3:$L$3,ROW($C2))</f>
        <v>42825</v>
      </c>
      <c r="D6" s="62">
        <v>39192.1</v>
      </c>
      <c r="E6" s="63"/>
      <c r="G6" s="60">
        <v>1</v>
      </c>
      <c r="H6" s="61" cm="1">
        <f t="array" ref="H6">INDEX('Financial Statement'!$C$3:$L$3,ROW($C2))</f>
        <v>42825</v>
      </c>
      <c r="I6" s="62">
        <v>15767.380000000001</v>
      </c>
      <c r="J6" s="63"/>
      <c r="L6" s="60">
        <v>1</v>
      </c>
      <c r="M6" s="61" cm="1">
        <f t="array" ref="M6">INDEX('Financial Statement'!$C$3:$L$3,ROW($C2))</f>
        <v>42825</v>
      </c>
      <c r="N6" s="62">
        <v>9869.6400000000031</v>
      </c>
      <c r="O6" s="63"/>
    </row>
    <row r="7" spans="2:15" x14ac:dyDescent="0.3">
      <c r="B7" s="64">
        <f>B6+1</f>
        <v>2</v>
      </c>
      <c r="C7" s="65">
        <f>C6+365</f>
        <v>43190</v>
      </c>
      <c r="D7" s="66">
        <v>42767.6</v>
      </c>
      <c r="E7" s="67">
        <f>D7/D6-1</f>
        <v>9.1230120355888067E-2</v>
      </c>
      <c r="G7" s="64">
        <f>G6+1</f>
        <v>2</v>
      </c>
      <c r="H7" s="65">
        <f>H6+365</f>
        <v>43190</v>
      </c>
      <c r="I7" s="66">
        <v>16638.739999999998</v>
      </c>
      <c r="J7" s="67">
        <f>I7/I6-1</f>
        <v>5.5263461653108914E-2</v>
      </c>
      <c r="L7" s="64">
        <f>L6+1</f>
        <v>2</v>
      </c>
      <c r="M7" s="65">
        <f>M6+365</f>
        <v>43190</v>
      </c>
      <c r="N7" s="66">
        <v>10598.159999999998</v>
      </c>
      <c r="O7" s="67">
        <f>N7/N6-1</f>
        <v>7.3814242464770308E-2</v>
      </c>
    </row>
    <row r="8" spans="2:15" x14ac:dyDescent="0.3">
      <c r="B8" s="64">
        <f t="shared" ref="B8:B19" si="0">B7+1</f>
        <v>3</v>
      </c>
      <c r="C8" s="65">
        <f t="shared" ref="C8:C15" si="1">C7+365</f>
        <v>43555</v>
      </c>
      <c r="D8" s="66">
        <v>43448.94</v>
      </c>
      <c r="E8" s="67">
        <f t="shared" ref="E8:E21" si="2">D8/D7-1</f>
        <v>1.5931218960147486E-2</v>
      </c>
      <c r="G8" s="64">
        <f t="shared" ref="G8:G19" si="3">G7+1</f>
        <v>3</v>
      </c>
      <c r="H8" s="65">
        <f t="shared" ref="H8:H15" si="4">H7+365</f>
        <v>43555</v>
      </c>
      <c r="I8" s="66">
        <v>17526.570000000003</v>
      </c>
      <c r="J8" s="67">
        <f t="shared" ref="J8:J21" si="5">I8/I7-1</f>
        <v>5.3359208690081372E-2</v>
      </c>
      <c r="L8" s="64">
        <f t="shared" ref="L8:L19" si="6">L7+1</f>
        <v>3</v>
      </c>
      <c r="M8" s="65">
        <f t="shared" ref="M8:M15" si="7">M7+365</f>
        <v>43555</v>
      </c>
      <c r="N8" s="66">
        <v>11042.090000000004</v>
      </c>
      <c r="O8" s="67">
        <f>N8/N7-1</f>
        <v>4.1887459709987862E-2</v>
      </c>
    </row>
    <row r="9" spans="2:15" x14ac:dyDescent="0.3">
      <c r="B9" s="64">
        <f t="shared" si="0"/>
        <v>4</v>
      </c>
      <c r="C9" s="65">
        <f t="shared" si="1"/>
        <v>43920</v>
      </c>
      <c r="D9" s="66">
        <v>48339.58</v>
      </c>
      <c r="E9" s="67">
        <f t="shared" si="2"/>
        <v>0.11256062863673999</v>
      </c>
      <c r="G9" s="64">
        <f t="shared" si="3"/>
        <v>4</v>
      </c>
      <c r="H9" s="65">
        <f t="shared" si="4"/>
        <v>43920</v>
      </c>
      <c r="I9" s="66">
        <v>19577.240000000002</v>
      </c>
      <c r="J9" s="67">
        <f t="shared" si="5"/>
        <v>0.11700349811742949</v>
      </c>
      <c r="L9" s="64">
        <f t="shared" si="6"/>
        <v>4</v>
      </c>
      <c r="M9" s="65">
        <f t="shared" si="7"/>
        <v>43920</v>
      </c>
      <c r="N9" s="66">
        <v>12807.88</v>
      </c>
      <c r="O9" s="67">
        <f>N9/N8-1</f>
        <v>0.15991447271304571</v>
      </c>
    </row>
    <row r="10" spans="2:15" x14ac:dyDescent="0.3">
      <c r="B10" s="64">
        <f t="shared" si="0"/>
        <v>5</v>
      </c>
      <c r="C10" s="65">
        <f t="shared" si="1"/>
        <v>44285</v>
      </c>
      <c r="D10" s="66">
        <v>49387.7</v>
      </c>
      <c r="E10" s="67">
        <f t="shared" si="2"/>
        <v>2.1682439110972673E-2</v>
      </c>
      <c r="G10" s="64">
        <f t="shared" si="3"/>
        <v>5</v>
      </c>
      <c r="H10" s="65">
        <f t="shared" si="4"/>
        <v>44285</v>
      </c>
      <c r="I10" s="66">
        <v>20568.669999999998</v>
      </c>
      <c r="J10" s="67">
        <f t="shared" si="5"/>
        <v>5.0641969961036315E-2</v>
      </c>
      <c r="L10" s="64">
        <f t="shared" si="6"/>
        <v>5</v>
      </c>
      <c r="M10" s="65">
        <f t="shared" si="7"/>
        <v>44285</v>
      </c>
      <c r="N10" s="66">
        <v>15660.409999999996</v>
      </c>
      <c r="O10" s="67">
        <f>N10/N9-1</f>
        <v>0.22271679622232532</v>
      </c>
    </row>
    <row r="11" spans="2:15" x14ac:dyDescent="0.3">
      <c r="B11" s="64">
        <f t="shared" si="0"/>
        <v>6</v>
      </c>
      <c r="C11" s="65">
        <f t="shared" si="1"/>
        <v>44650</v>
      </c>
      <c r="D11" s="66">
        <v>49257.45</v>
      </c>
      <c r="E11" s="67">
        <f t="shared" si="2"/>
        <v>-2.6372963308678443E-3</v>
      </c>
      <c r="G11" s="64">
        <f t="shared" si="3"/>
        <v>6</v>
      </c>
      <c r="H11" s="65">
        <f t="shared" si="4"/>
        <v>44650</v>
      </c>
      <c r="I11" s="66">
        <v>18139.169999999998</v>
      </c>
      <c r="J11" s="67">
        <f t="shared" si="5"/>
        <v>-0.11811653354349116</v>
      </c>
      <c r="L11" s="64">
        <f t="shared" si="6"/>
        <v>6</v>
      </c>
      <c r="M11" s="65">
        <f t="shared" si="7"/>
        <v>44650</v>
      </c>
      <c r="N11" s="66">
        <v>13122.779999999995</v>
      </c>
      <c r="O11" s="67">
        <f>N11/N10-1</f>
        <v>-0.16204109598663141</v>
      </c>
    </row>
    <row r="12" spans="2:15" x14ac:dyDescent="0.3">
      <c r="B12" s="64">
        <f t="shared" si="0"/>
        <v>7</v>
      </c>
      <c r="C12" s="65">
        <f t="shared" si="1"/>
        <v>45015</v>
      </c>
      <c r="D12" s="66">
        <v>60644.54</v>
      </c>
      <c r="E12" s="67">
        <f t="shared" si="2"/>
        <v>0.23117497962237188</v>
      </c>
      <c r="G12" s="64">
        <f t="shared" si="3"/>
        <v>7</v>
      </c>
      <c r="H12" s="65">
        <f t="shared" si="4"/>
        <v>45015</v>
      </c>
      <c r="I12" s="66">
        <v>21733.099999999995</v>
      </c>
      <c r="J12" s="67">
        <f t="shared" si="5"/>
        <v>0.19813089573558207</v>
      </c>
      <c r="L12" s="64">
        <f t="shared" si="6"/>
        <v>7</v>
      </c>
      <c r="M12" s="65">
        <f t="shared" si="7"/>
        <v>45015</v>
      </c>
      <c r="N12" s="66">
        <v>16019.589999999993</v>
      </c>
      <c r="O12" s="67">
        <f>N12/N11-1</f>
        <v>0.22074667105598045</v>
      </c>
    </row>
    <row r="13" spans="2:15" x14ac:dyDescent="0.3">
      <c r="B13" s="64">
        <f t="shared" si="0"/>
        <v>8</v>
      </c>
      <c r="C13" s="65">
        <f t="shared" si="1"/>
        <v>45380</v>
      </c>
      <c r="D13" s="66">
        <v>70919.03</v>
      </c>
      <c r="E13" s="67">
        <f t="shared" si="2"/>
        <v>0.1694215175842706</v>
      </c>
      <c r="G13" s="64">
        <f t="shared" si="3"/>
        <v>8</v>
      </c>
      <c r="H13" s="65">
        <f t="shared" si="4"/>
        <v>45380</v>
      </c>
      <c r="I13" s="66">
        <v>27012.819999999992</v>
      </c>
      <c r="J13" s="67">
        <f t="shared" si="5"/>
        <v>0.24293451003308308</v>
      </c>
      <c r="L13" s="64">
        <f t="shared" si="6"/>
        <v>8</v>
      </c>
      <c r="M13" s="65">
        <f t="shared" si="7"/>
        <v>45380</v>
      </c>
      <c r="N13" s="66">
        <v>20080.669999999991</v>
      </c>
      <c r="O13" s="67">
        <f>N13/N12-1</f>
        <v>0.25350711222946409</v>
      </c>
    </row>
    <row r="14" spans="2:15" x14ac:dyDescent="0.3">
      <c r="B14" s="64">
        <f t="shared" si="0"/>
        <v>9</v>
      </c>
      <c r="C14" s="65">
        <f t="shared" si="1"/>
        <v>45745</v>
      </c>
      <c r="D14" s="66">
        <v>67931.94</v>
      </c>
      <c r="E14" s="67">
        <f t="shared" si="2"/>
        <v>-4.2119724423754779E-2</v>
      </c>
      <c r="G14" s="64">
        <f t="shared" si="3"/>
        <v>9</v>
      </c>
      <c r="H14" s="65">
        <f t="shared" si="4"/>
        <v>45745</v>
      </c>
      <c r="I14" s="66">
        <v>26953.499999999996</v>
      </c>
      <c r="J14" s="67">
        <f t="shared" si="5"/>
        <v>-2.1959943463879528E-3</v>
      </c>
      <c r="L14" s="64">
        <f t="shared" si="6"/>
        <v>9</v>
      </c>
      <c r="M14" s="65">
        <f t="shared" si="7"/>
        <v>45745</v>
      </c>
      <c r="N14" s="66">
        <v>20293.899999999998</v>
      </c>
      <c r="O14" s="67">
        <f>N14/N13-1</f>
        <v>1.0618669596184072E-2</v>
      </c>
    </row>
    <row r="15" spans="2:15" x14ac:dyDescent="0.3">
      <c r="B15" s="64">
        <f t="shared" si="0"/>
        <v>10</v>
      </c>
      <c r="C15" s="65">
        <f t="shared" si="1"/>
        <v>46110</v>
      </c>
      <c r="D15" s="66">
        <v>75323.34</v>
      </c>
      <c r="E15" s="67">
        <f t="shared" si="2"/>
        <v>0.10880596078957838</v>
      </c>
      <c r="G15" s="64">
        <f t="shared" si="3"/>
        <v>10</v>
      </c>
      <c r="H15" s="65">
        <f t="shared" si="4"/>
        <v>46110</v>
      </c>
      <c r="I15" s="66">
        <v>28060.839999999997</v>
      </c>
      <c r="J15" s="67">
        <f t="shared" si="5"/>
        <v>4.1083347246183344E-2</v>
      </c>
      <c r="L15" s="64">
        <f t="shared" si="6"/>
        <v>10</v>
      </c>
      <c r="M15" s="65">
        <f t="shared" si="7"/>
        <v>46110</v>
      </c>
      <c r="N15" s="66">
        <v>20702.349999999995</v>
      </c>
      <c r="O15" s="67">
        <f>N15/N14-1</f>
        <v>2.0126737591098731E-2</v>
      </c>
    </row>
    <row r="16" spans="2:15" x14ac:dyDescent="0.3">
      <c r="B16" s="68">
        <f t="shared" si="0"/>
        <v>11</v>
      </c>
      <c r="C16" s="69">
        <v>46023</v>
      </c>
      <c r="D16" s="70">
        <f>FORECAST(B16,$D$6:$D$15,$B$6:$B$15)</f>
        <v>77236.775999999998</v>
      </c>
      <c r="E16" s="71">
        <f t="shared" si="2"/>
        <v>2.5402962747005153E-2</v>
      </c>
      <c r="G16" s="68">
        <f t="shared" si="3"/>
        <v>11</v>
      </c>
      <c r="H16" s="69">
        <v>46023</v>
      </c>
      <c r="I16" s="70">
        <f>FORECAST(G16,$I$6:$I$15,$G$6:$G$15)</f>
        <v>29008.262666666662</v>
      </c>
      <c r="J16" s="71">
        <f t="shared" si="5"/>
        <v>3.3763161283363763E-2</v>
      </c>
      <c r="L16" s="68">
        <f t="shared" si="6"/>
        <v>11</v>
      </c>
      <c r="M16" s="69">
        <v>46023</v>
      </c>
      <c r="N16" s="70">
        <f>FORECAST(L16,$N$6:$N$15,$L$6:$L$15)</f>
        <v>22274.91266666666</v>
      </c>
      <c r="O16" s="71">
        <f>N16/N15-1</f>
        <v>7.5960587405133451E-2</v>
      </c>
    </row>
    <row r="17" spans="2:15" x14ac:dyDescent="0.3">
      <c r="B17" s="68">
        <f t="shared" si="0"/>
        <v>12</v>
      </c>
      <c r="C17" s="72">
        <f>C16+365</f>
        <v>46388</v>
      </c>
      <c r="D17" s="70">
        <f t="shared" ref="D17:D21" si="8">FORECAST(B17,$D$6:$D$15,$B$6:$B$15)</f>
        <v>81330.51309090908</v>
      </c>
      <c r="E17" s="71">
        <f t="shared" si="2"/>
        <v>5.3002433593410059E-2</v>
      </c>
      <c r="G17" s="68">
        <f t="shared" si="3"/>
        <v>12</v>
      </c>
      <c r="H17" s="72">
        <f>H16+365</f>
        <v>46388</v>
      </c>
      <c r="I17" s="70">
        <f t="shared" ref="I17:I21" si="9">FORECAST(G17,$I$6:$I$15,$G$6:$G$15)</f>
        <v>30428.346242424235</v>
      </c>
      <c r="J17" s="71">
        <f t="shared" si="5"/>
        <v>4.8954451084359141E-2</v>
      </c>
      <c r="L17" s="68">
        <f t="shared" si="6"/>
        <v>12</v>
      </c>
      <c r="M17" s="72">
        <f>M16+365</f>
        <v>46388</v>
      </c>
      <c r="N17" s="70">
        <f t="shared" ref="N17:N21" si="10">FORECAST(L17,$N$6:$N$15,$L$6:$L$15)</f>
        <v>23594.033696969687</v>
      </c>
      <c r="O17" s="71">
        <f>N17/N16-1</f>
        <v>5.9220031523491867E-2</v>
      </c>
    </row>
    <row r="18" spans="2:15" x14ac:dyDescent="0.3">
      <c r="B18" s="68">
        <f t="shared" si="0"/>
        <v>13</v>
      </c>
      <c r="C18" s="72">
        <f t="shared" ref="C18:C20" si="11">C17+365</f>
        <v>46753</v>
      </c>
      <c r="D18" s="70">
        <f>FORECAST(B18,$D$6:$D$15,$B$6:$B$15)</f>
        <v>85424.250181818177</v>
      </c>
      <c r="E18" s="71">
        <f t="shared" si="2"/>
        <v>5.0334578442081446E-2</v>
      </c>
      <c r="G18" s="68">
        <f t="shared" si="3"/>
        <v>13</v>
      </c>
      <c r="H18" s="72">
        <f t="shared" ref="H18:H20" si="12">H17+365</f>
        <v>46753</v>
      </c>
      <c r="I18" s="70">
        <f t="shared" si="9"/>
        <v>31848.429818181812</v>
      </c>
      <c r="J18" s="71">
        <f t="shared" si="5"/>
        <v>4.6669758666596506E-2</v>
      </c>
      <c r="L18" s="68">
        <f t="shared" si="6"/>
        <v>13</v>
      </c>
      <c r="M18" s="72">
        <f t="shared" ref="M18:M20" si="13">M17+365</f>
        <v>46753</v>
      </c>
      <c r="N18" s="70">
        <f t="shared" si="10"/>
        <v>24913.154727272718</v>
      </c>
      <c r="O18" s="71">
        <f>N18/N17-1</f>
        <v>5.5909093258286413E-2</v>
      </c>
    </row>
    <row r="19" spans="2:15" x14ac:dyDescent="0.3">
      <c r="B19" s="68">
        <f t="shared" si="0"/>
        <v>14</v>
      </c>
      <c r="C19" s="72">
        <f t="shared" si="11"/>
        <v>47118</v>
      </c>
      <c r="D19" s="70">
        <f>FORECAST(B19,$D$6:$D$15,$B$6:$B$15)</f>
        <v>89517.987272727274</v>
      </c>
      <c r="E19" s="71">
        <f t="shared" si="2"/>
        <v>4.7922423459332952E-2</v>
      </c>
      <c r="G19" s="68">
        <f t="shared" si="3"/>
        <v>14</v>
      </c>
      <c r="H19" s="72">
        <f t="shared" si="12"/>
        <v>47118</v>
      </c>
      <c r="I19" s="70">
        <f t="shared" si="9"/>
        <v>33268.513393939385</v>
      </c>
      <c r="J19" s="71">
        <f t="shared" si="5"/>
        <v>4.4588809679617869E-2</v>
      </c>
      <c r="L19" s="68">
        <f t="shared" si="6"/>
        <v>14</v>
      </c>
      <c r="M19" s="72">
        <f t="shared" si="13"/>
        <v>47118</v>
      </c>
      <c r="N19" s="70">
        <f t="shared" si="10"/>
        <v>26232.275757575746</v>
      </c>
      <c r="O19" s="71">
        <f>N19/N18-1</f>
        <v>5.2948775245190927E-2</v>
      </c>
    </row>
    <row r="20" spans="2:15" x14ac:dyDescent="0.3">
      <c r="B20" s="68">
        <f>B19+1</f>
        <v>15</v>
      </c>
      <c r="C20" s="72">
        <f t="shared" si="11"/>
        <v>47483</v>
      </c>
      <c r="D20" s="70">
        <f t="shared" si="8"/>
        <v>93611.724363636371</v>
      </c>
      <c r="E20" s="71">
        <f t="shared" si="2"/>
        <v>4.5730888457501173E-2</v>
      </c>
      <c r="G20" s="68">
        <f>G19+1</f>
        <v>15</v>
      </c>
      <c r="H20" s="72">
        <f t="shared" si="12"/>
        <v>47483</v>
      </c>
      <c r="I20" s="70">
        <f t="shared" si="9"/>
        <v>34688.596969696962</v>
      </c>
      <c r="J20" s="71">
        <f t="shared" si="5"/>
        <v>4.2685513444561618E-2</v>
      </c>
      <c r="L20" s="68">
        <f>L19+1</f>
        <v>15</v>
      </c>
      <c r="M20" s="72">
        <f t="shared" si="13"/>
        <v>47483</v>
      </c>
      <c r="N20" s="70">
        <f t="shared" si="10"/>
        <v>27551.396787878773</v>
      </c>
      <c r="O20" s="71">
        <f>N20/N19-1</f>
        <v>5.0286183421279107E-2</v>
      </c>
    </row>
    <row r="21" spans="2:15" x14ac:dyDescent="0.3">
      <c r="B21" s="68">
        <f>B20+1</f>
        <v>16</v>
      </c>
      <c r="C21" s="72">
        <f t="shared" ref="C21" si="14">C20+365</f>
        <v>47848</v>
      </c>
      <c r="D21" s="70">
        <f t="shared" si="8"/>
        <v>97705.461454545453</v>
      </c>
      <c r="E21" s="71">
        <f t="shared" si="2"/>
        <v>4.3731029619825001E-2</v>
      </c>
      <c r="G21" s="68">
        <f>G20+1</f>
        <v>16</v>
      </c>
      <c r="H21" s="72">
        <f t="shared" ref="H21" si="15">H20+365</f>
        <v>47848</v>
      </c>
      <c r="I21" s="70">
        <f t="shared" si="9"/>
        <v>36108.680545454539</v>
      </c>
      <c r="J21" s="71">
        <f t="shared" si="5"/>
        <v>4.0938051688804933E-2</v>
      </c>
      <c r="L21" s="68">
        <f>L20+1</f>
        <v>16</v>
      </c>
      <c r="M21" s="72">
        <f t="shared" ref="M21" si="16">M20+365</f>
        <v>47848</v>
      </c>
      <c r="N21" s="70">
        <f t="shared" si="10"/>
        <v>28870.517818181805</v>
      </c>
      <c r="O21" s="71">
        <f>N21/N20-1</f>
        <v>4.7878553688551317E-2</v>
      </c>
    </row>
    <row r="23" spans="2:15" x14ac:dyDescent="0.3">
      <c r="B23" s="58" t="s">
        <v>118</v>
      </c>
      <c r="C23" s="57"/>
      <c r="D23" s="57"/>
      <c r="G23" s="58" t="s">
        <v>118</v>
      </c>
      <c r="H23" s="57"/>
      <c r="I23" s="57"/>
      <c r="L23" s="58" t="s">
        <v>118</v>
      </c>
      <c r="M23" s="57"/>
      <c r="N23" s="57"/>
    </row>
    <row r="24" spans="2:15" ht="3.6" customHeight="1" x14ac:dyDescent="0.3">
      <c r="G24" s="52"/>
      <c r="H24" s="51"/>
      <c r="I24" s="51"/>
      <c r="L24" s="52"/>
      <c r="M24" s="51"/>
      <c r="N24" s="51"/>
    </row>
    <row r="25" spans="2:15" x14ac:dyDescent="0.3">
      <c r="B25" s="52" t="s">
        <v>119</v>
      </c>
      <c r="D25" s="73">
        <f>_xlfn.RRI(B15,D6,D15)</f>
        <v>6.7512830344328867E-2</v>
      </c>
      <c r="G25" s="52" t="s">
        <v>119</v>
      </c>
      <c r="H25" s="51"/>
      <c r="I25" s="73">
        <f>_xlfn.RRI(G15,I6,I15)</f>
        <v>5.9336931542924853E-2</v>
      </c>
      <c r="L25" s="52" t="s">
        <v>119</v>
      </c>
      <c r="M25" s="51"/>
      <c r="N25" s="73">
        <f>_xlfn.RRI(L15,N6,N15)</f>
        <v>7.6891213420791971E-2</v>
      </c>
    </row>
    <row r="26" spans="2:15" x14ac:dyDescent="0.3">
      <c r="B26" s="52" t="s">
        <v>120</v>
      </c>
      <c r="D26" s="73">
        <f>_xlfn.STDEV.S(E7:E15)</f>
        <v>8.8099694420488803E-2</v>
      </c>
      <c r="G26" s="52" t="s">
        <v>120</v>
      </c>
      <c r="H26" s="51"/>
      <c r="I26" s="73">
        <f>_xlfn.STDEV.S(J7:J15)</f>
        <v>0.10655455269754302</v>
      </c>
      <c r="L26" s="52" t="s">
        <v>120</v>
      </c>
      <c r="M26" s="51"/>
      <c r="N26" s="73">
        <f>_xlfn.STDEV.S(O7:O15)</f>
        <v>0.13393442177478193</v>
      </c>
    </row>
    <row r="27" spans="2:15" x14ac:dyDescent="0.3">
      <c r="D27" s="53"/>
    </row>
  </sheetData>
  <mergeCells count="4">
    <mergeCell ref="B3:E3"/>
    <mergeCell ref="G3:J3"/>
    <mergeCell ref="L3:O3"/>
    <mergeCell ref="B1:O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35F0D-C0B3-4E90-AE16-9DF51E5F63A2}">
  <dimension ref="B2:M37"/>
  <sheetViews>
    <sheetView showGridLines="0" tabSelected="1" workbookViewId="0">
      <selection activeCell="H1" sqref="H1"/>
    </sheetView>
  </sheetViews>
  <sheetFormatPr defaultRowHeight="14.4" x14ac:dyDescent="0.3"/>
  <cols>
    <col min="1" max="1" width="2.33203125" customWidth="1"/>
    <col min="2" max="2" width="28.109375" customWidth="1"/>
    <col min="3" max="3" width="12.109375" customWidth="1"/>
  </cols>
  <sheetData>
    <row r="2" spans="2:13" ht="18" x14ac:dyDescent="0.35">
      <c r="B2" s="50" t="str">
        <f>"Financial Statement of - "&amp;'Data Sheet'!B1</f>
        <v>Financial Statement of - ITC LTD</v>
      </c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2:13" x14ac:dyDescent="0.3">
      <c r="B3" s="9" t="s">
        <v>54</v>
      </c>
      <c r="C3" s="10">
        <f>'Data Sheet'!B16</f>
        <v>42460</v>
      </c>
      <c r="D3" s="10">
        <f>'Data Sheet'!C16</f>
        <v>42825</v>
      </c>
      <c r="E3" s="10">
        <f>'Data Sheet'!D16</f>
        <v>43190</v>
      </c>
      <c r="F3" s="10">
        <f>'Data Sheet'!E16</f>
        <v>43555</v>
      </c>
      <c r="G3" s="10">
        <f>'Data Sheet'!F16</f>
        <v>43921</v>
      </c>
      <c r="H3" s="10">
        <f>'Data Sheet'!G16</f>
        <v>44286</v>
      </c>
      <c r="I3" s="10">
        <f>'Data Sheet'!H16</f>
        <v>44651</v>
      </c>
      <c r="J3" s="10">
        <f>'Data Sheet'!I16</f>
        <v>45016</v>
      </c>
      <c r="K3" s="10">
        <f>'Data Sheet'!J16</f>
        <v>45382</v>
      </c>
      <c r="L3" s="10">
        <f>'Data Sheet'!K16</f>
        <v>45747</v>
      </c>
    </row>
    <row r="5" spans="2:13" x14ac:dyDescent="0.3">
      <c r="B5" s="36" t="s">
        <v>78</v>
      </c>
      <c r="C5" s="36"/>
      <c r="D5" s="37">
        <f>'Financial Statement'!D8</f>
        <v>9.1230120355888067E-2</v>
      </c>
      <c r="E5" s="37">
        <f>'Financial Statement'!E8</f>
        <v>1.5931218960147486E-2</v>
      </c>
      <c r="F5" s="37">
        <f>'Financial Statement'!F8</f>
        <v>0.11256062863673999</v>
      </c>
      <c r="G5" s="37">
        <f>'Financial Statement'!G8</f>
        <v>2.1682439110972673E-2</v>
      </c>
      <c r="H5" s="37">
        <f>'Financial Statement'!H8</f>
        <v>-2.6372963308678443E-3</v>
      </c>
      <c r="I5" s="37">
        <f>'Financial Statement'!I8</f>
        <v>0.23117497962237188</v>
      </c>
      <c r="J5" s="37">
        <f>'Financial Statement'!J8</f>
        <v>0.1694215175842706</v>
      </c>
      <c r="K5" s="37">
        <f>'Financial Statement'!K8</f>
        <v>-4.2119724423754779E-2</v>
      </c>
      <c r="L5" s="37">
        <f>'Financial Statement'!L8</f>
        <v>0.10880596078957838</v>
      </c>
    </row>
    <row r="6" spans="2:13" x14ac:dyDescent="0.3">
      <c r="B6" t="s">
        <v>79</v>
      </c>
      <c r="D6" s="38">
        <f>'Financial Statement'!D19/'Financial Statement'!C19-1</f>
        <v>5.5263461653108914E-2</v>
      </c>
      <c r="E6" s="38">
        <f>'Financial Statement'!E19/'Financial Statement'!D19-1</f>
        <v>5.3359208690081372E-2</v>
      </c>
      <c r="F6" s="38">
        <f>'Financial Statement'!F19/'Financial Statement'!E19-1</f>
        <v>0.11700349811742949</v>
      </c>
      <c r="G6" s="38">
        <f>'Financial Statement'!G19/'Financial Statement'!F19-1</f>
        <v>5.0641969961036315E-2</v>
      </c>
      <c r="H6" s="38">
        <f>'Financial Statement'!H19/'Financial Statement'!G19-1</f>
        <v>-0.11811653354349116</v>
      </c>
      <c r="I6" s="38">
        <f>'Financial Statement'!I19/'Financial Statement'!H19-1</f>
        <v>0.19813089573558207</v>
      </c>
      <c r="J6" s="38">
        <f>'Financial Statement'!J19/'Financial Statement'!I19-1</f>
        <v>0.24293451003308308</v>
      </c>
      <c r="K6" s="38">
        <f>'Financial Statement'!K19/'Financial Statement'!J19-1</f>
        <v>-2.1959943463879528E-3</v>
      </c>
      <c r="L6" s="38">
        <f>'Financial Statement'!L19/'Financial Statement'!K19-1</f>
        <v>4.1083347246183344E-2</v>
      </c>
    </row>
    <row r="7" spans="2:13" x14ac:dyDescent="0.3">
      <c r="B7" t="s">
        <v>80</v>
      </c>
      <c r="D7" s="38">
        <f>'Financial Statement'!D25/'Financial Statement'!C25-1</f>
        <v>5.8166808005759574E-2</v>
      </c>
      <c r="E7" s="38">
        <f>'Financial Statement'!E25/'Financial Statement'!D25-1</f>
        <v>5.4163672151877007E-2</v>
      </c>
      <c r="F7" s="38">
        <f>'Financial Statement'!F25/'Financial Statement'!E25-1</f>
        <v>0.12414948754006927</v>
      </c>
      <c r="G7" s="38">
        <f>'Financial Statement'!G25/'Financial Statement'!F25-1</f>
        <v>5.1600566867431974E-2</v>
      </c>
      <c r="H7" s="38">
        <f>'Financial Statement'!H25/'Financial Statement'!G25-1</f>
        <v>-0.12126391849216056</v>
      </c>
      <c r="I7" s="38">
        <f>'Financial Statement'!I25/'Financial Statement'!H25-1</f>
        <v>0.20189850722032632</v>
      </c>
      <c r="J7" s="38">
        <f>'Financial Statement'!J25/'Financial Statement'!I25-1</f>
        <v>0.24768681404255388</v>
      </c>
      <c r="K7" s="38">
        <f>'Financial Statement'!K25/'Financial Statement'!J25-1</f>
        <v>-2.0442278105217149E-3</v>
      </c>
      <c r="L7" s="38">
        <f>'Financial Statement'!L25/'Financial Statement'!K25-1</f>
        <v>4.1270085263353407E-2</v>
      </c>
    </row>
    <row r="8" spans="2:13" x14ac:dyDescent="0.3">
      <c r="B8" t="s">
        <v>81</v>
      </c>
      <c r="D8" s="38">
        <f>'Financial Statement'!D39/'Financial Statement'!C39-1</f>
        <v>7.3814242464770308E-2</v>
      </c>
      <c r="E8" s="38">
        <f>'Financial Statement'!E39/'Financial Statement'!D39-1</f>
        <v>4.1887459709987862E-2</v>
      </c>
      <c r="F8" s="38">
        <f>'Financial Statement'!F39/'Financial Statement'!E39-1</f>
        <v>0.15991447271304571</v>
      </c>
      <c r="G8" s="38">
        <f>'Financial Statement'!G39/'Financial Statement'!F39-1</f>
        <v>0.22271679622232532</v>
      </c>
      <c r="H8" s="38">
        <f>'Financial Statement'!H39/'Financial Statement'!G39-1</f>
        <v>-0.16204109598663141</v>
      </c>
      <c r="I8" s="38">
        <f>'Financial Statement'!I39/'Financial Statement'!H39-1</f>
        <v>0.22074667105598045</v>
      </c>
      <c r="J8" s="38">
        <f>'Financial Statement'!J39/'Financial Statement'!I39-1</f>
        <v>0.25350711222946409</v>
      </c>
      <c r="K8" s="38">
        <f>'Financial Statement'!K39/'Financial Statement'!J39-1</f>
        <v>1.0618669596184072E-2</v>
      </c>
      <c r="L8" s="38">
        <f>'Financial Statement'!L39/'Financial Statement'!K39-1</f>
        <v>2.0126737591098731E-2</v>
      </c>
    </row>
    <row r="9" spans="2:13" x14ac:dyDescent="0.3">
      <c r="B9" s="39" t="s">
        <v>82</v>
      </c>
      <c r="C9" s="39"/>
      <c r="D9" s="40">
        <f>'Financial Statement'!D48</f>
        <v>0.54443601530831776</v>
      </c>
      <c r="E9" s="40">
        <f>'Financial Statement'!E48</f>
        <v>0.56920474294268553</v>
      </c>
      <c r="F9" s="40">
        <f>'Financial Statement'!F48</f>
        <v>0.55034088389335312</v>
      </c>
      <c r="G9" s="40">
        <f>'Financial Statement'!G48</f>
        <v>0.79669561652600429</v>
      </c>
      <c r="H9" s="40">
        <f>'Financial Statement'!H48</f>
        <v>1.0083198834393325</v>
      </c>
      <c r="I9" s="40">
        <f>'Financial Statement'!I48</f>
        <v>0.88465435132859238</v>
      </c>
      <c r="J9" s="40">
        <f>'Financial Statement'!J48</f>
        <v>0.95930066078472531</v>
      </c>
      <c r="K9" s="40">
        <f>'Financial Statement'!K48</f>
        <v>0.84589260812362344</v>
      </c>
      <c r="L9" s="40">
        <f>'Financial Statement'!L48</f>
        <v>0.86742471265339471</v>
      </c>
    </row>
    <row r="11" spans="2:13" x14ac:dyDescent="0.3">
      <c r="B11" s="36" t="s">
        <v>89</v>
      </c>
      <c r="C11" s="37">
        <f>'Financial Statement'!C14</f>
        <v>0.51105095159483671</v>
      </c>
      <c r="D11" s="37">
        <f>'Financial Statement'!D14</f>
        <v>0.48678158231932583</v>
      </c>
      <c r="E11" s="37">
        <f>'Financial Statement'!E14</f>
        <v>0.49440653788101624</v>
      </c>
      <c r="F11" s="37">
        <f>'Financial Statement'!F14</f>
        <v>0.49904508893126504</v>
      </c>
      <c r="G11" s="37">
        <f>'Financial Statement'!G14</f>
        <v>0.50735911978083614</v>
      </c>
      <c r="H11" s="37">
        <f>'Financial Statement'!H14</f>
        <v>0.45426509086442762</v>
      </c>
      <c r="I11" s="37">
        <f>'Financial Statement'!I14</f>
        <v>0.43848102401304379</v>
      </c>
      <c r="J11" s="37">
        <f>'Financial Statement'!J14</f>
        <v>0.45991745797989614</v>
      </c>
      <c r="K11" s="37">
        <f>'Financial Statement'!K14</f>
        <v>0.47497465845962877</v>
      </c>
      <c r="L11" s="37">
        <f>'Financial Statement'!L14</f>
        <v>0.44945072802135433</v>
      </c>
    </row>
    <row r="12" spans="2:13" x14ac:dyDescent="0.3">
      <c r="B12" t="s">
        <v>90</v>
      </c>
      <c r="C12" s="33">
        <f>'Financial Statement'!C20</f>
        <v>0.4023101594453985</v>
      </c>
      <c r="D12" s="33">
        <f>'Financial Statement'!D20</f>
        <v>0.38905012205501355</v>
      </c>
      <c r="E12" s="33">
        <f>'Financial Statement'!E20</f>
        <v>0.40338314352432997</v>
      </c>
      <c r="F12" s="33">
        <f>'Financial Statement'!F20</f>
        <v>0.40499400284404624</v>
      </c>
      <c r="G12" s="33">
        <f>'Financial Statement'!G20</f>
        <v>0.41647353490848937</v>
      </c>
      <c r="H12" s="33">
        <f>'Financial Statement'!H20</f>
        <v>0.36825231513202572</v>
      </c>
      <c r="I12" s="33">
        <f>'Financial Statement'!I20</f>
        <v>0.35836861818063087</v>
      </c>
      <c r="J12" s="33">
        <f>'Financial Statement'!J20</f>
        <v>0.38089663662912471</v>
      </c>
      <c r="K12" s="33">
        <f>'Financial Statement'!K20</f>
        <v>0.3967721222152642</v>
      </c>
      <c r="L12" s="33">
        <f>'Financial Statement'!L20</f>
        <v>0.37253844558671984</v>
      </c>
    </row>
    <row r="13" spans="2:13" x14ac:dyDescent="0.3">
      <c r="B13" t="s">
        <v>91</v>
      </c>
      <c r="C13" s="38">
        <f>'Financial Statement'!C25/'Financial Statement'!C7</f>
        <v>0.39053737870642302</v>
      </c>
      <c r="D13" s="38">
        <f>'Financial Statement'!D25/'Financial Statement'!D7</f>
        <v>0.37870443980957547</v>
      </c>
      <c r="E13" s="38">
        <f>'Financial Statement'!E25/'Financial Statement'!E7</f>
        <v>0.39295619179662383</v>
      </c>
      <c r="F13" s="38">
        <f>'Financial Statement'!F25/'Financial Statement'!F7</f>
        <v>0.39704937444636468</v>
      </c>
      <c r="G13" s="38">
        <f>'Financial Statement'!G25/'Financial Statement'!G7</f>
        <v>0.40867624934953439</v>
      </c>
      <c r="H13" s="38">
        <f>'Financial Statement'!H25/'Financial Statement'!H7</f>
        <v>0.36006817242873917</v>
      </c>
      <c r="I13" s="38">
        <f>'Financial Statement'!I25/'Financial Statement'!I7</f>
        <v>0.35150600532216081</v>
      </c>
      <c r="J13" s="38">
        <f>'Financial Statement'!J25/'Financial Statement'!J7</f>
        <v>0.37503107417007808</v>
      </c>
      <c r="K13" s="38">
        <f>'Financial Statement'!K25/'Financial Statement'!K7</f>
        <v>0.39072150743817996</v>
      </c>
      <c r="L13" s="38">
        <f>'Financial Statement'!L25/'Financial Statement'!L7</f>
        <v>0.36692318742105701</v>
      </c>
    </row>
    <row r="14" spans="2:13" x14ac:dyDescent="0.3">
      <c r="B14" t="s">
        <v>92</v>
      </c>
      <c r="C14" s="33">
        <f>'Financial Statement'!C31</f>
        <v>0.38854386470742835</v>
      </c>
      <c r="D14" s="33">
        <f>'Financial Statement'!D31</f>
        <v>0.37755801120474375</v>
      </c>
      <c r="E14" s="33">
        <f>'Financial Statement'!E31</f>
        <v>0.39030917670258475</v>
      </c>
      <c r="F14" s="33">
        <f>'Financial Statement'!F31</f>
        <v>0.39557232396309605</v>
      </c>
      <c r="G14" s="33">
        <f>'Financial Statement'!G31</f>
        <v>0.40702847065159947</v>
      </c>
      <c r="H14" s="33">
        <f>'Financial Statement'!H31</f>
        <v>0.35889129461634733</v>
      </c>
      <c r="I14" s="33">
        <f>'Financial Statement'!I31</f>
        <v>0.35051679837954075</v>
      </c>
      <c r="J14" s="33">
        <f>'Financial Statement'!J31</f>
        <v>0.37393447146696723</v>
      </c>
      <c r="K14" s="33">
        <f>'Financial Statement'!K31</f>
        <v>0.39014578414807521</v>
      </c>
      <c r="L14" s="33">
        <f>'Financial Statement'!L31</f>
        <v>0.36632496647121593</v>
      </c>
      <c r="M14" s="33"/>
    </row>
    <row r="15" spans="2:13" x14ac:dyDescent="0.3">
      <c r="B15" s="39" t="s">
        <v>93</v>
      </c>
      <c r="C15" s="40">
        <f>'Financial Statement'!C40</f>
        <v>0.25182728151846939</v>
      </c>
      <c r="D15" s="40">
        <f>'Financial Statement'!D40</f>
        <v>0.24780815383608149</v>
      </c>
      <c r="E15" s="40">
        <f>'Financial Statement'!E40</f>
        <v>0.25413945656671955</v>
      </c>
      <c r="F15" s="40">
        <f>'Financial Statement'!F40</f>
        <v>0.26495637736198779</v>
      </c>
      <c r="G15" s="40">
        <f>'Financial Statement'!G40</f>
        <v>0.31709130006054131</v>
      </c>
      <c r="H15" s="40">
        <f>'Financial Statement'!H40</f>
        <v>0.26641208588751542</v>
      </c>
      <c r="I15" s="40">
        <f>'Financial Statement'!I40</f>
        <v>0.26415552001878473</v>
      </c>
      <c r="J15" s="40">
        <f>'Financial Statement'!J40</f>
        <v>0.28314924781120093</v>
      </c>
      <c r="K15" s="40">
        <f>'Financial Statement'!K40</f>
        <v>0.29873870818351422</v>
      </c>
      <c r="L15" s="40">
        <f>'Financial Statement'!L40</f>
        <v>0.27484641546697208</v>
      </c>
    </row>
    <row r="17" spans="2:12" x14ac:dyDescent="0.3">
      <c r="B17" s="36" t="s">
        <v>94</v>
      </c>
      <c r="C17" s="37">
        <f>'Financial Statement'!C17</f>
        <v>0.10874079214943828</v>
      </c>
      <c r="D17" s="37">
        <f>'Financial Statement'!D17</f>
        <v>9.7731460264312231E-2</v>
      </c>
      <c r="E17" s="37">
        <f>'Financial Statement'!E17</f>
        <v>9.1023394356686257E-2</v>
      </c>
      <c r="F17" s="37">
        <f>'Financial Statement'!F17</f>
        <v>9.4051086087218794E-2</v>
      </c>
      <c r="G17" s="37">
        <f>'Financial Statement'!G17</f>
        <v>9.088558487234677E-2</v>
      </c>
      <c r="H17" s="37">
        <f>'Financial Statement'!H17</f>
        <v>8.6012775732401917E-2</v>
      </c>
      <c r="I17" s="37">
        <f>'Financial Statement'!I17</f>
        <v>8.0112405832412942E-2</v>
      </c>
      <c r="J17" s="37">
        <f>'Financial Statement'!J17</f>
        <v>7.9020821350771431E-2</v>
      </c>
      <c r="K17" s="37">
        <f>'Financial Statement'!K17</f>
        <v>7.8202536244364573E-2</v>
      </c>
      <c r="L17" s="37">
        <f>'Financial Statement'!L17</f>
        <v>7.691228243463448E-2</v>
      </c>
    </row>
    <row r="18" spans="2:12" x14ac:dyDescent="0.3">
      <c r="B18" t="s">
        <v>95</v>
      </c>
      <c r="C18" s="33">
        <f>'Financial Statement'!C23</f>
        <v>1.1772780738975457E-2</v>
      </c>
      <c r="D18" s="33">
        <f>'Financial Statement'!D23</f>
        <v>1.0345682245438135E-2</v>
      </c>
      <c r="E18" s="33">
        <f>'Financial Statement'!E23</f>
        <v>1.042695172770613E-2</v>
      </c>
      <c r="F18" s="33">
        <f>'Financial Statement'!F23</f>
        <v>7.9446283976815687E-3</v>
      </c>
      <c r="G18" s="33">
        <f>'Financial Statement'!G23</f>
        <v>7.7972855589549623E-3</v>
      </c>
      <c r="H18" s="33">
        <f>'Financial Statement'!H23</f>
        <v>8.184142703286509E-3</v>
      </c>
      <c r="I18" s="33">
        <f>'Financial Statement'!I23</f>
        <v>6.8626128584700291E-3</v>
      </c>
      <c r="J18" s="33">
        <f>'Financial Statement'!J23</f>
        <v>5.8655624590466058E-3</v>
      </c>
      <c r="K18" s="33">
        <f>'Financial Statement'!K23</f>
        <v>6.05061477708424E-3</v>
      </c>
      <c r="L18" s="33">
        <f>'Financial Statement'!L23</f>
        <v>5.6152581656628607E-3</v>
      </c>
    </row>
    <row r="19" spans="2:12" x14ac:dyDescent="0.3">
      <c r="B19" s="39" t="s">
        <v>96</v>
      </c>
      <c r="C19" s="40">
        <f>C13</f>
        <v>0.39053737870642302</v>
      </c>
      <c r="D19" s="40">
        <f t="shared" ref="D19:L19" si="0">D13</f>
        <v>0.37870443980957547</v>
      </c>
      <c r="E19" s="40">
        <f t="shared" si="0"/>
        <v>0.39295619179662383</v>
      </c>
      <c r="F19" s="40">
        <f t="shared" si="0"/>
        <v>0.39704937444636468</v>
      </c>
      <c r="G19" s="40">
        <f t="shared" si="0"/>
        <v>0.40867624934953439</v>
      </c>
      <c r="H19" s="40">
        <f t="shared" si="0"/>
        <v>0.36006817242873917</v>
      </c>
      <c r="I19" s="40">
        <f t="shared" si="0"/>
        <v>0.35150600532216081</v>
      </c>
      <c r="J19" s="40">
        <f t="shared" si="0"/>
        <v>0.37503107417007808</v>
      </c>
      <c r="K19" s="40">
        <f t="shared" si="0"/>
        <v>0.39072150743817996</v>
      </c>
      <c r="L19" s="40">
        <f t="shared" si="0"/>
        <v>0.36692318742105701</v>
      </c>
    </row>
    <row r="21" spans="2:12" x14ac:dyDescent="0.3">
      <c r="B21" s="36" t="s">
        <v>97</v>
      </c>
      <c r="C21" s="41">
        <f>IFERROR('Financial Statement'!C25/SUM('Financial Statement'!C55:C57),"-")</f>
        <v>0.35792326597807</v>
      </c>
      <c r="D21" s="41">
        <f>IFERROR('Financial Statement'!D25/SUM('Financial Statement'!D55:D57),"-")</f>
        <v>0.34861710359642389</v>
      </c>
      <c r="E21" s="41">
        <f>IFERROR('Financial Statement'!E25/SUM('Financial Statement'!E55:E57),"-")</f>
        <v>0.32492521318927431</v>
      </c>
      <c r="F21" s="41">
        <f>IFERROR('Financial Statement'!F25/SUM('Financial Statement'!F55:F57),"-")</f>
        <v>0.32445987452140002</v>
      </c>
      <c r="G21" s="41">
        <f>IFERROR('Financial Statement'!G25/SUM('Financial Statement'!G55:G57),"-")</f>
        <v>0.30790787773313205</v>
      </c>
      <c r="H21" s="41">
        <f>IFERROR('Financial Statement'!H25/SUM('Financial Statement'!H55:H57),"-")</f>
        <v>0.29258619981434608</v>
      </c>
      <c r="I21" s="41">
        <f>IFERROR('Financial Statement'!I25/SUM('Financial Statement'!I55:I57),"-")</f>
        <v>0.3399556112023584</v>
      </c>
      <c r="J21" s="41">
        <f>IFERROR('Financial Statement'!J25/SUM('Financial Statement'!J55:J57),"-")</f>
        <v>0.38290155813380966</v>
      </c>
      <c r="K21" s="41">
        <f>IFERROR('Financial Statement'!K25/SUM('Financial Statement'!K55:K57),"-")</f>
        <v>0.35479638333852648</v>
      </c>
      <c r="L21" s="41">
        <f>IFERROR('Financial Statement'!L25/SUM('Financial Statement'!L55:L57),"-")</f>
        <v>0.39306038760945627</v>
      </c>
    </row>
    <row r="22" spans="2:12" x14ac:dyDescent="0.3">
      <c r="B22" t="s">
        <v>98</v>
      </c>
      <c r="C22" s="33">
        <f>'Financial Statement'!C50</f>
        <v>0.30695344511046019</v>
      </c>
      <c r="D22" s="33">
        <f>'Financial Statement'!D50</f>
        <v>0.45556398469168224</v>
      </c>
      <c r="E22" s="33">
        <f>'Financial Statement'!E50</f>
        <v>0.43079525705731447</v>
      </c>
      <c r="F22" s="33">
        <f>'Financial Statement'!F50</f>
        <v>0.44965911610664688</v>
      </c>
      <c r="G22" s="33">
        <f>'Financial Statement'!G50</f>
        <v>0.20330438347399571</v>
      </c>
      <c r="H22" s="33">
        <f>'Financial Statement'!H50</f>
        <v>0</v>
      </c>
      <c r="I22" s="33">
        <f>'Financial Statement'!I50</f>
        <v>0.11534564867140762</v>
      </c>
      <c r="J22" s="33">
        <f>'Financial Statement'!J50</f>
        <v>4.0699339215274688E-2</v>
      </c>
      <c r="K22" s="33">
        <f>'Financial Statement'!K50</f>
        <v>0.15410739187637656</v>
      </c>
      <c r="L22" s="33">
        <f>'Financial Statement'!L50</f>
        <v>0.13257528734660529</v>
      </c>
    </row>
    <row r="23" spans="2:12" x14ac:dyDescent="0.3">
      <c r="B23" t="s">
        <v>99</v>
      </c>
      <c r="C23" s="38">
        <f>'Financial Statement'!C39/SUM('Financial Statement'!C55:C56)</f>
        <v>0.23125002343044163</v>
      </c>
      <c r="D23" s="38">
        <f>'Financial Statement'!D39/SUM('Financial Statement'!D55:D56)</f>
        <v>0.22834498920882604</v>
      </c>
      <c r="E23" s="38">
        <f>'Financial Statement'!E39/SUM('Financial Statement'!E55:E56)</f>
        <v>0.21028502892109735</v>
      </c>
      <c r="F23" s="38">
        <f>'Financial Statement'!F39/SUM('Financial Statement'!F55:F56)</f>
        <v>0.21656563388397904</v>
      </c>
      <c r="G23" s="38">
        <f>'Financial Statement'!G39/SUM('Financial Statement'!G55:G56)</f>
        <v>0.23992075774980437</v>
      </c>
      <c r="H23" s="38">
        <f>'Financial Statement'!H39/SUM('Financial Statement'!H55:H56)</f>
        <v>0.21745415788003242</v>
      </c>
      <c r="I23" s="38">
        <f>'Financial Statement'!I39/SUM('Financial Statement'!I55:I56)</f>
        <v>0.25649577771846438</v>
      </c>
      <c r="J23" s="38">
        <f>'Financial Statement'!J39/SUM('Financial Statement'!J55:J56)</f>
        <v>0.29037082645629542</v>
      </c>
      <c r="K23" s="38">
        <f>'Financial Statement'!K39/SUM('Financial Statement'!K55:K56)</f>
        <v>0.27237574992953678</v>
      </c>
      <c r="L23" s="38">
        <f>'Financial Statement'!L39/SUM('Financial Statement'!L55:L56)</f>
        <v>0.29562095129162402</v>
      </c>
    </row>
    <row r="24" spans="2:12" x14ac:dyDescent="0.3">
      <c r="B24" t="s">
        <v>100</v>
      </c>
      <c r="C24" s="33">
        <f>C22*C23</f>
        <v>7.0982991373848697E-2</v>
      </c>
      <c r="D24" s="33">
        <f t="shared" ref="D24:L24" si="1">D22*D23</f>
        <v>0.10402575316835197</v>
      </c>
      <c r="E24" s="33">
        <f t="shared" si="1"/>
        <v>9.0589793089368945E-2</v>
      </c>
      <c r="F24" s="33">
        <f t="shared" si="1"/>
        <v>9.7380711511345711E-2</v>
      </c>
      <c r="G24" s="33">
        <f t="shared" si="1"/>
        <v>4.8776941736937855E-2</v>
      </c>
      <c r="H24" s="33">
        <f t="shared" si="1"/>
        <v>0</v>
      </c>
      <c r="I24" s="33">
        <f t="shared" si="1"/>
        <v>2.9585671862413454E-2</v>
      </c>
      <c r="J24" s="33">
        <f t="shared" si="1"/>
        <v>1.1817900764164425E-2</v>
      </c>
      <c r="K24" s="33">
        <f t="shared" si="1"/>
        <v>4.1975116432013071E-2</v>
      </c>
      <c r="L24" s="33">
        <f t="shared" si="1"/>
        <v>3.9192032563163857E-2</v>
      </c>
    </row>
    <row r="25" spans="2:12" x14ac:dyDescent="0.3">
      <c r="B25" s="39" t="s">
        <v>101</v>
      </c>
      <c r="C25" s="42">
        <f>'Financial Statement'!C25/'Financial Statement'!C27</f>
        <v>195.90400614360684</v>
      </c>
      <c r="D25" s="42">
        <f>'Financial Statement'!D25/'Financial Statement'!D27</f>
        <v>330.33408117479092</v>
      </c>
      <c r="E25" s="42">
        <f>'Financial Statement'!E25/'Financial Statement'!E27</f>
        <v>148.45256934179639</v>
      </c>
      <c r="F25" s="42">
        <f>'Financial Statement'!F25/'Financial Statement'!F27</f>
        <v>268.81232492997196</v>
      </c>
      <c r="G25" s="42">
        <f>'Financial Statement'!G25/'Financial Statement'!G27</f>
        <v>248.01646596215286</v>
      </c>
      <c r="H25" s="42">
        <f>'Financial Statement'!H25/'Financial Statement'!H27</f>
        <v>305.95204416077274</v>
      </c>
      <c r="I25" s="42">
        <f>'Financial Statement'!I25/'Financial Statement'!I27</f>
        <v>355.3412235372561</v>
      </c>
      <c r="J25" s="42">
        <f>'Financial Statement'!J25/'Financial Statement'!J27</f>
        <v>341.99357078564992</v>
      </c>
      <c r="K25" s="42">
        <f>'Financial Statement'!K25/'Financial Statement'!K27</f>
        <v>678.66197903349519</v>
      </c>
      <c r="L25" s="42">
        <f>'Financial Statement'!L25/'Financial Statement'!L27</f>
        <v>613.35730137594305</v>
      </c>
    </row>
    <row r="27" spans="2:12" x14ac:dyDescent="0.3">
      <c r="B27" s="36" t="s">
        <v>102</v>
      </c>
      <c r="C27" s="43">
        <f>'Financial Statement'!C7/'Financial Statement'!C67</f>
        <v>20.442577118476095</v>
      </c>
      <c r="D27" s="43">
        <f>'Financial Statement'!D7/'Financial Statement'!D67</f>
        <v>17.28479685081377</v>
      </c>
      <c r="E27" s="43">
        <f>'Financial Statement'!E7/'Financial Statement'!E67</f>
        <v>16.198449832046499</v>
      </c>
      <c r="F27" s="43">
        <f>'Financial Statement'!F7/'Financial Statement'!F67</f>
        <v>11.97923811978351</v>
      </c>
      <c r="G27" s="43">
        <f>'Financial Statement'!G7/'Financial Statement'!G67</f>
        <v>19.273399207018201</v>
      </c>
      <c r="H27" s="43">
        <f>'Financial Statement'!H7/'Financial Statement'!H67</f>
        <v>19.689591078066915</v>
      </c>
      <c r="I27" s="43">
        <f>'Financial Statement'!I7/'Financial Statement'!I67</f>
        <v>24.633226369876922</v>
      </c>
      <c r="J27" s="43">
        <f>'Financial Statement'!J7/'Financial Statement'!J67</f>
        <v>23.990173095593285</v>
      </c>
      <c r="K27" s="43">
        <f>'Financial Statement'!K7/'Financial Statement'!K67</f>
        <v>16.874062923826699</v>
      </c>
      <c r="L27" s="43">
        <f>'Financial Statement'!L7/'Financial Statement'!L67</f>
        <v>15.959450554805738</v>
      </c>
    </row>
    <row r="28" spans="2:12" x14ac:dyDescent="0.3">
      <c r="B28" t="s">
        <v>103</v>
      </c>
      <c r="C28" s="44">
        <f>'Financial Statement'!C10/'Financial Statement'!C58</f>
        <v>2.1560366515002181</v>
      </c>
      <c r="D28" s="44">
        <f>'Financial Statement'!D10/'Financial Statement'!D58</f>
        <v>2.3251999275398396</v>
      </c>
      <c r="E28" s="44">
        <f>'Financial Statement'!E10/'Financial Statement'!E58</f>
        <v>1.8783909156594569</v>
      </c>
      <c r="F28" s="44">
        <f>'Financial Statement'!F10/'Financial Statement'!F58</f>
        <v>1.9242327805205199</v>
      </c>
      <c r="G28" s="44">
        <f>'Financial Statement'!G10/'Financial Statement'!G58</f>
        <v>2.0689045275356204</v>
      </c>
      <c r="H28" s="44">
        <f>'Financial Statement'!H10/'Financial Statement'!H58</f>
        <v>2.0453738570555724</v>
      </c>
      <c r="I28" s="44">
        <f>'Financial Statement'!I10/'Financial Statement'!I58</f>
        <v>2.3499438617460071</v>
      </c>
      <c r="J28" s="44">
        <f>'Financial Statement'!J10/'Financial Statement'!J58</f>
        <v>2.3398244068600085</v>
      </c>
      <c r="K28" s="44">
        <f>'Financial Statement'!K10/'Financial Statement'!K58</f>
        <v>2.1049904565397788</v>
      </c>
      <c r="L28" s="44">
        <f>'Financial Statement'!L10/'Financial Statement'!L58</f>
        <v>2.3444681201100623</v>
      </c>
    </row>
    <row r="29" spans="2:12" x14ac:dyDescent="0.3">
      <c r="B29" t="s">
        <v>104</v>
      </c>
      <c r="C29" s="44">
        <f>'Financial Statement'!C10/'Financial Statement'!C68</f>
        <v>2.1146246455015945</v>
      </c>
      <c r="D29" s="44">
        <f>'Financial Statement'!D10/'Financial Statement'!D68</f>
        <v>2.7043925037887653</v>
      </c>
      <c r="E29" s="44">
        <f>'Financial Statement'!E10/'Financial Statement'!E68</f>
        <v>2.9309187748245851</v>
      </c>
      <c r="F29" s="44">
        <f>'Financial Statement'!F10/'Financial Statement'!F68</f>
        <v>3.0810821470922036</v>
      </c>
      <c r="G29" s="44">
        <f>'Financial Statement'!G10/'Financial Statement'!G68</f>
        <v>2.7401166529456611</v>
      </c>
      <c r="H29" s="44">
        <f>'Financial Statement'!H10/'Financial Statement'!H68</f>
        <v>2.5854666081891593</v>
      </c>
      <c r="I29" s="44">
        <f>'Financial Statement'!I10/'Financial Statement'!I68</f>
        <v>3.1344430995521977</v>
      </c>
      <c r="J29" s="44">
        <f>'Financial Statement'!J10/'Financial Statement'!J68</f>
        <v>3.2538959626748771</v>
      </c>
      <c r="K29" s="44">
        <f>'Financial Statement'!K10/'Financial Statement'!K68</f>
        <v>2.5200517491846188</v>
      </c>
      <c r="L29" s="44">
        <f>'Financial Statement'!L10/'Financial Statement'!L68</f>
        <v>2.6518977385218667</v>
      </c>
    </row>
    <row r="30" spans="2:12" x14ac:dyDescent="0.3">
      <c r="B30" t="s">
        <v>105</v>
      </c>
      <c r="C30" s="44">
        <f>'Financial Statement'!C7/'Financial Statement'!C61</f>
        <v>2.594364196382648</v>
      </c>
      <c r="D30" s="44">
        <f>'Financial Statement'!D7/'Financial Statement'!D61</f>
        <v>2.6908895974953251</v>
      </c>
      <c r="E30" s="44">
        <f>'Financial Statement'!E7/'Financial Statement'!E61</f>
        <v>2.6294508096122238</v>
      </c>
      <c r="F30" s="44">
        <f>'Financial Statement'!F7/'Financial Statement'!F61</f>
        <v>2.4950503737188501</v>
      </c>
      <c r="G30" s="44">
        <f>'Financial Statement'!G7/'Financial Statement'!G61</f>
        <v>2.2745326145125531</v>
      </c>
      <c r="H30" s="44">
        <f>'Financial Statement'!H7/'Financial Statement'!H61</f>
        <v>2.1141915695787881</v>
      </c>
      <c r="I30" s="44">
        <f>'Financial Statement'!I7/'Financial Statement'!I61</f>
        <v>2.5027057654904197</v>
      </c>
      <c r="J30" s="44">
        <f>'Financial Statement'!J7/'Financial Statement'!J61</f>
        <v>2.7433480057266046</v>
      </c>
      <c r="K30" s="44">
        <f>'Financial Statement'!K7/'Financial Statement'!K61</f>
        <v>2.4418189360112894</v>
      </c>
      <c r="L30" s="44">
        <f>'Financial Statement'!L7/'Financial Statement'!L61</f>
        <v>3.4308291789741219</v>
      </c>
    </row>
    <row r="31" spans="2:12" x14ac:dyDescent="0.3">
      <c r="B31" t="s">
        <v>106</v>
      </c>
      <c r="C31" s="44">
        <f>'Financial Statement'!C7/SUM('Financial Statement'!C55:C57)</f>
        <v>0.91648913905147633</v>
      </c>
      <c r="D31" s="44">
        <f>'Financial Statement'!D7/SUM('Financial Statement'!D55:D57)</f>
        <v>0.92055193166396354</v>
      </c>
      <c r="E31" s="44">
        <f>'Financial Statement'!E7/SUM('Financial Statement'!E55:E57)</f>
        <v>0.82687388561990327</v>
      </c>
      <c r="F31" s="44">
        <f>'Financial Statement'!F7/SUM('Financial Statement'!F55:F57)</f>
        <v>0.81717764943923776</v>
      </c>
      <c r="G31" s="44">
        <f>'Financial Statement'!G7/SUM('Financial Statement'!G55:G57)</f>
        <v>0.75342738469194293</v>
      </c>
      <c r="H31" s="44">
        <f>'Financial Statement'!H7/SUM('Financial Statement'!H55:H57)</f>
        <v>0.81258556634091728</v>
      </c>
      <c r="I31" s="44">
        <f>'Financial Statement'!I7/SUM('Financial Statement'!I55:I57)</f>
        <v>0.96714026518774177</v>
      </c>
      <c r="J31" s="44">
        <f>'Financial Statement'!J7/SUM('Financial Statement'!J55:J57)</f>
        <v>1.0209862182251124</v>
      </c>
      <c r="K31" s="44">
        <f>'Financial Statement'!K7/SUM('Financial Statement'!K55:K57)</f>
        <v>0.90805439829713597</v>
      </c>
      <c r="L31" s="44">
        <f>'Financial Statement'!L7/SUM('Financial Statement'!L55:L57)</f>
        <v>1.0712334381811797</v>
      </c>
    </row>
    <row r="32" spans="2:12" x14ac:dyDescent="0.3">
      <c r="B32" s="39" t="s">
        <v>107</v>
      </c>
      <c r="C32" s="42">
        <f>'Financial Statement'!C7/SUM('Financial Statement'!C55:C56)</f>
        <v>0.91828820942691003</v>
      </c>
      <c r="D32" s="42">
        <f>'Financial Statement'!D7/SUM('Financial Statement'!D55:D56)</f>
        <v>0.92145874005368755</v>
      </c>
      <c r="E32" s="42">
        <f>'Financial Statement'!E7/SUM('Financial Statement'!E55:E56)</f>
        <v>0.82743951593321752</v>
      </c>
      <c r="F32" s="42">
        <f>'Financial Statement'!F7/SUM('Financial Statement'!F55:F56)</f>
        <v>0.81736335633885671</v>
      </c>
      <c r="G32" s="42">
        <f>'Financial Statement'!G7/SUM('Financial Statement'!G55:G56)</f>
        <v>0.75662989714317919</v>
      </c>
      <c r="H32" s="42">
        <f>'Financial Statement'!H7/SUM('Financial Statement'!H55:H56)</f>
        <v>0.81623233103563475</v>
      </c>
      <c r="I32" s="42">
        <f>'Financial Statement'!I7/SUM('Financial Statement'!I55:I56)</f>
        <v>0.97100290654620558</v>
      </c>
      <c r="J32" s="42">
        <f>'Financial Statement'!J7/SUM('Financial Statement'!J55:J56)</f>
        <v>1.0255044952473606</v>
      </c>
      <c r="K32" s="42">
        <f>'Financial Statement'!K7/SUM('Financial Statement'!K55:K56)</f>
        <v>0.91175245278967076</v>
      </c>
      <c r="L32" s="42">
        <f>'Financial Statement'!L7/SUM('Financial Statement'!L55:L56)</f>
        <v>1.075585980589761</v>
      </c>
    </row>
    <row r="34" spans="2:12" x14ac:dyDescent="0.3">
      <c r="B34" s="36" t="s">
        <v>108</v>
      </c>
      <c r="C34" s="45">
        <f>365/C27</f>
        <v>17.854891674597688</v>
      </c>
      <c r="D34" s="45">
        <f t="shared" ref="D34:L34" si="2">365/D27</f>
        <v>21.116823249375695</v>
      </c>
      <c r="E34" s="45">
        <f t="shared" si="2"/>
        <v>22.533020368275956</v>
      </c>
      <c r="F34" s="45">
        <f t="shared" si="2"/>
        <v>30.469383474163408</v>
      </c>
      <c r="G34" s="45">
        <f t="shared" si="2"/>
        <v>18.9380189804344</v>
      </c>
      <c r="H34" s="45">
        <f t="shared" si="2"/>
        <v>18.537713584442557</v>
      </c>
      <c r="I34" s="45">
        <f t="shared" si="2"/>
        <v>14.817385044061677</v>
      </c>
      <c r="J34" s="45">
        <f t="shared" si="2"/>
        <v>15.214563002342249</v>
      </c>
      <c r="K34" s="45">
        <f t="shared" si="2"/>
        <v>21.630830799179297</v>
      </c>
      <c r="L34" s="45">
        <f t="shared" si="2"/>
        <v>22.870461532906003</v>
      </c>
    </row>
    <row r="35" spans="2:12" x14ac:dyDescent="0.3">
      <c r="B35" t="s">
        <v>109</v>
      </c>
      <c r="C35" s="46">
        <f>365/C28</f>
        <v>169.29211279688818</v>
      </c>
      <c r="D35" s="46">
        <f t="shared" ref="D35:L35" si="3">365/D28</f>
        <v>156.97574891385167</v>
      </c>
      <c r="E35" s="46">
        <f t="shared" si="3"/>
        <v>194.31524980084217</v>
      </c>
      <c r="F35" s="46">
        <f t="shared" si="3"/>
        <v>189.68599001897508</v>
      </c>
      <c r="G35" s="46">
        <f t="shared" si="3"/>
        <v>176.42186729359159</v>
      </c>
      <c r="H35" s="46">
        <f t="shared" si="3"/>
        <v>178.45148393821631</v>
      </c>
      <c r="I35" s="46">
        <f t="shared" si="3"/>
        <v>155.3228593847366</v>
      </c>
      <c r="J35" s="46">
        <f t="shared" si="3"/>
        <v>155.99461178790838</v>
      </c>
      <c r="K35" s="46">
        <f t="shared" si="3"/>
        <v>173.39746071817996</v>
      </c>
      <c r="L35" s="46">
        <f t="shared" si="3"/>
        <v>155.68563158063537</v>
      </c>
    </row>
    <row r="36" spans="2:12" x14ac:dyDescent="0.3">
      <c r="B36" t="s">
        <v>110</v>
      </c>
      <c r="C36" s="46">
        <f>365/C29</f>
        <v>172.60746524280722</v>
      </c>
      <c r="D36" s="46">
        <f t="shared" ref="D36:L36" si="4">365/D29</f>
        <v>134.96561593357731</v>
      </c>
      <c r="E36" s="46">
        <f t="shared" si="4"/>
        <v>124.53432798452259</v>
      </c>
      <c r="F36" s="46">
        <f t="shared" si="4"/>
        <v>118.46487129350696</v>
      </c>
      <c r="G36" s="46">
        <f t="shared" si="4"/>
        <v>133.20600771051855</v>
      </c>
      <c r="H36" s="46">
        <f t="shared" si="4"/>
        <v>141.17374358806481</v>
      </c>
      <c r="I36" s="46">
        <f t="shared" si="4"/>
        <v>116.44811802522297</v>
      </c>
      <c r="J36" s="46">
        <f t="shared" si="4"/>
        <v>112.1732237867711</v>
      </c>
      <c r="K36" s="46">
        <f t="shared" si="4"/>
        <v>144.83829553027965</v>
      </c>
      <c r="L36" s="46">
        <f t="shared" si="4"/>
        <v>137.63728317949631</v>
      </c>
    </row>
    <row r="37" spans="2:12" x14ac:dyDescent="0.3">
      <c r="B37" s="39" t="s">
        <v>111</v>
      </c>
      <c r="C37" s="47">
        <f>SUM(C34,C36)-C35</f>
        <v>21.170244120516742</v>
      </c>
      <c r="D37" s="47">
        <f t="shared" ref="D37:L37" si="5">SUM(D34,D36)-D35</f>
        <v>-0.89330973089866461</v>
      </c>
      <c r="E37" s="47">
        <f t="shared" si="5"/>
        <v>-47.247901448043621</v>
      </c>
      <c r="F37" s="47">
        <f t="shared" si="5"/>
        <v>-40.751735251304694</v>
      </c>
      <c r="G37" s="47">
        <f t="shared" si="5"/>
        <v>-24.277840602638634</v>
      </c>
      <c r="H37" s="47">
        <f t="shared" si="5"/>
        <v>-18.740026765708933</v>
      </c>
      <c r="I37" s="47">
        <f t="shared" si="5"/>
        <v>-24.057356315451955</v>
      </c>
      <c r="J37" s="47">
        <f t="shared" si="5"/>
        <v>-28.606824998795034</v>
      </c>
      <c r="K37" s="47">
        <f t="shared" si="5"/>
        <v>-6.928334388720998</v>
      </c>
      <c r="L37" s="47">
        <f t="shared" si="5"/>
        <v>4.8221131317669403</v>
      </c>
    </row>
  </sheetData>
  <mergeCells count="1">
    <mergeCell ref="B2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Data Sheet</vt:lpstr>
      <vt:lpstr>Financial Statement</vt:lpstr>
      <vt:lpstr>Forecast</vt:lpstr>
      <vt:lpstr>Ratio Analysis</vt:lpstr>
      <vt:lpstr>UPDATE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Pratyush</dc:creator>
  <cp:lastModifiedBy>Anvay Gulwe</cp:lastModifiedBy>
  <cp:lastPrinted>2025-09-12T15:23:19Z</cp:lastPrinted>
  <dcterms:created xsi:type="dcterms:W3CDTF">2012-08-17T09:55:37Z</dcterms:created>
  <dcterms:modified xsi:type="dcterms:W3CDTF">2025-09-13T13:49:32Z</dcterms:modified>
</cp:coreProperties>
</file>